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AD PREGAO\Documents\PREGÃO 08-22\"/>
    </mc:Choice>
  </mc:AlternateContent>
  <bookViews>
    <workbookView xWindow="0" yWindow="0" windowWidth="20490" windowHeight="7755" tabRatio="819" activeTab="1"/>
  </bookViews>
  <sheets>
    <sheet name="DADOS" sheetId="1" r:id="rId1"/>
    <sheet name="RESUMO" sheetId="2" r:id="rId2"/>
    <sheet name="CRONOGRAMA" sheetId="3" r:id="rId3"/>
    <sheet name="ORCAMENTO" sheetId="4" r:id="rId4"/>
    <sheet name="COMPOSICAO" sheetId="6" r:id="rId5"/>
    <sheet name="MEMORIA" sheetId="5" r:id="rId6"/>
    <sheet name="COMPOSICAO_AUX_1" sheetId="7" state="hidden" r:id="rId7"/>
    <sheet name="COMPOSICAO_AUX_2" sheetId="8" state="hidden" r:id="rId8"/>
    <sheet name="COMPOSICAO_AUX_3" sheetId="9" state="hidden" r:id="rId9"/>
    <sheet name="COMPOSICAO_AUX_4" sheetId="10" state="hidden" r:id="rId10"/>
    <sheet name="ABCS" sheetId="11" r:id="rId11"/>
    <sheet name="Qualificação Técnica" sheetId="16" r:id="rId12"/>
    <sheet name="BDI" sheetId="12" r:id="rId13"/>
    <sheet name="LS" sheetId="13" r:id="rId14"/>
    <sheet name="S" sheetId="14" state="hidden" r:id="rId15"/>
    <sheet name="I" sheetId="15" state="hidden" r:id="rId16"/>
  </sheets>
  <externalReferences>
    <externalReference r:id="rId17"/>
  </externalReferences>
  <definedNames>
    <definedName name="_xlnm.Print_Area" localSheetId="12">BDI!$A$1:$K$38</definedName>
    <definedName name="_xlnm.Print_Area" localSheetId="4">COMPOSICAO!$A$1:$K$122</definedName>
    <definedName name="_xlnm.Print_Area" localSheetId="0">DADOS!$A$1:$K$15</definedName>
    <definedName name="_xlnm.Print_Area" localSheetId="13">LS!$A$1:$J$43</definedName>
    <definedName name="BDI">DADOS!$K$5</definedName>
    <definedName name="CIDADE">DADOS!$A$1</definedName>
    <definedName name="FONTE">DADOS!$B$5</definedName>
    <definedName name="LEI">DADOS!$H$5</definedName>
    <definedName name="OBRA">DADOS!$A$2</definedName>
    <definedName name="ONERA">DADOS!$F$5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8" i="16" l="1"/>
  <c r="B7" i="16"/>
  <c r="B6" i="16"/>
  <c r="G8" i="16"/>
  <c r="G7" i="16"/>
  <c r="G6" i="16"/>
  <c r="B4" i="16"/>
  <c r="A2" i="16"/>
  <c r="A1" i="16"/>
  <c r="D57" i="15"/>
  <c r="D56" i="15"/>
  <c r="D55" i="15"/>
  <c r="I10" i="8" s="1"/>
  <c r="J10" i="8" s="1"/>
  <c r="D54" i="15"/>
  <c r="D53" i="15"/>
  <c r="D52" i="15"/>
  <c r="I68" i="6" s="1"/>
  <c r="J68" i="6" s="1"/>
  <c r="D51" i="15"/>
  <c r="D50" i="15"/>
  <c r="D49" i="15"/>
  <c r="D48" i="15"/>
  <c r="D47" i="15"/>
  <c r="I38" i="6" s="1"/>
  <c r="J38" i="6" s="1"/>
  <c r="D46" i="15"/>
  <c r="I110" i="6" s="1"/>
  <c r="J110" i="6" s="1"/>
  <c r="D45" i="15"/>
  <c r="D44" i="15"/>
  <c r="I36" i="6" s="1"/>
  <c r="D43" i="15"/>
  <c r="I35" i="6" s="1"/>
  <c r="D42" i="15"/>
  <c r="D41" i="15"/>
  <c r="D40" i="15"/>
  <c r="D39" i="15"/>
  <c r="I24" i="8" s="1"/>
  <c r="J24" i="8" s="1"/>
  <c r="D38" i="15"/>
  <c r="I61" i="8" s="1"/>
  <c r="J61" i="8" s="1"/>
  <c r="J62" i="8" s="1"/>
  <c r="I60" i="8" s="1"/>
  <c r="D37" i="15"/>
  <c r="D36" i="15"/>
  <c r="D35" i="15"/>
  <c r="I119" i="6" s="1"/>
  <c r="J119" i="6" s="1"/>
  <c r="J120" i="6" s="1"/>
  <c r="D34" i="15"/>
  <c r="D33" i="15"/>
  <c r="D32" i="15"/>
  <c r="D31" i="15"/>
  <c r="I69" i="6" s="1"/>
  <c r="J69" i="6" s="1"/>
  <c r="D30" i="15"/>
  <c r="I76" i="8" s="1"/>
  <c r="J76" i="8" s="1"/>
  <c r="J77" i="8" s="1"/>
  <c r="I90" i="7" s="1"/>
  <c r="J90" i="7" s="1"/>
  <c r="D29" i="15"/>
  <c r="D28" i="15"/>
  <c r="I110" i="7" s="1"/>
  <c r="J110" i="7" s="1"/>
  <c r="D27" i="15"/>
  <c r="I25" i="8" s="1"/>
  <c r="J25" i="8" s="1"/>
  <c r="D26" i="15"/>
  <c r="D25" i="15"/>
  <c r="D24" i="15"/>
  <c r="D23" i="15"/>
  <c r="I122" i="7" s="1"/>
  <c r="J122" i="7" s="1"/>
  <c r="D22" i="15"/>
  <c r="I82" i="7" s="1"/>
  <c r="J82" i="7" s="1"/>
  <c r="D21" i="15"/>
  <c r="D20" i="15"/>
  <c r="I47" i="7" s="1"/>
  <c r="J47" i="7" s="1"/>
  <c r="D19" i="15"/>
  <c r="I111" i="7" s="1"/>
  <c r="J111" i="7" s="1"/>
  <c r="D18" i="15"/>
  <c r="D17" i="15"/>
  <c r="D16" i="15"/>
  <c r="D15" i="15"/>
  <c r="I131" i="8" s="1"/>
  <c r="J131" i="8" s="1"/>
  <c r="D14" i="15"/>
  <c r="I123" i="7" s="1"/>
  <c r="J123" i="7" s="1"/>
  <c r="D13" i="15"/>
  <c r="D12" i="15"/>
  <c r="I8" i="7" s="1"/>
  <c r="J8" i="7" s="1"/>
  <c r="J9" i="7" s="1"/>
  <c r="I7" i="7" s="1"/>
  <c r="D11" i="15"/>
  <c r="I18" i="9" s="1"/>
  <c r="J18" i="9" s="1"/>
  <c r="J19" i="9" s="1"/>
  <c r="I17" i="9" s="1"/>
  <c r="D10" i="15"/>
  <c r="D9" i="15"/>
  <c r="D8" i="15"/>
  <c r="D7" i="15"/>
  <c r="I46" i="8" s="1"/>
  <c r="J46" i="8" s="1"/>
  <c r="J47" i="8" s="1"/>
  <c r="D6" i="15"/>
  <c r="I28" i="9" s="1"/>
  <c r="J28" i="9" s="1"/>
  <c r="J29" i="9" s="1"/>
  <c r="I40" i="8" s="1"/>
  <c r="J40" i="8" s="1"/>
  <c r="D5" i="15"/>
  <c r="D4" i="15"/>
  <c r="I137" i="8" s="1"/>
  <c r="J137" i="8" s="1"/>
  <c r="D3" i="15"/>
  <c r="I126" i="8" s="1"/>
  <c r="J126" i="8" s="1"/>
  <c r="D2" i="15"/>
  <c r="D50" i="14"/>
  <c r="D49" i="14"/>
  <c r="D48" i="14"/>
  <c r="D47" i="14"/>
  <c r="L156" i="7" s="1"/>
  <c r="D46" i="14"/>
  <c r="D45" i="14"/>
  <c r="L44" i="6" s="1"/>
  <c r="D44" i="14"/>
  <c r="L52" i="6" s="1"/>
  <c r="D43" i="14"/>
  <c r="D42" i="14"/>
  <c r="D41" i="14"/>
  <c r="D40" i="14"/>
  <c r="L90" i="8" s="1"/>
  <c r="D39" i="14"/>
  <c r="L19" i="8" s="1"/>
  <c r="D38" i="14"/>
  <c r="D37" i="14"/>
  <c r="L19" i="6" s="1"/>
  <c r="D36" i="14"/>
  <c r="L136" i="7" s="1"/>
  <c r="D35" i="14"/>
  <c r="D34" i="14"/>
  <c r="D33" i="14"/>
  <c r="D32" i="14"/>
  <c r="L80" i="8" s="1"/>
  <c r="D31" i="14"/>
  <c r="L85" i="8" s="1"/>
  <c r="D30" i="14"/>
  <c r="D29" i="14"/>
  <c r="L97" i="7" s="1"/>
  <c r="D28" i="14"/>
  <c r="L7" i="6" s="1"/>
  <c r="D27" i="14"/>
  <c r="D26" i="14"/>
  <c r="D25" i="14"/>
  <c r="D24" i="14"/>
  <c r="L7" i="10" s="1"/>
  <c r="D23" i="14"/>
  <c r="L102" i="8" s="1"/>
  <c r="D22" i="14"/>
  <c r="D21" i="14"/>
  <c r="L12" i="9" s="1"/>
  <c r="D20" i="14"/>
  <c r="L60" i="8" s="1"/>
  <c r="D19" i="14"/>
  <c r="D18" i="14"/>
  <c r="D17" i="14"/>
  <c r="D16" i="14"/>
  <c r="L107" i="8" s="1"/>
  <c r="D15" i="14"/>
  <c r="L45" i="8" s="1"/>
  <c r="D14" i="14"/>
  <c r="D13" i="14"/>
  <c r="D12" i="14"/>
  <c r="L172" i="7" s="1"/>
  <c r="D11" i="14"/>
  <c r="D10" i="14"/>
  <c r="D9" i="14"/>
  <c r="D8" i="14"/>
  <c r="L27" i="9" s="1"/>
  <c r="D7" i="14"/>
  <c r="L32" i="9" s="1"/>
  <c r="D6" i="14"/>
  <c r="D5" i="14"/>
  <c r="L39" i="8" s="1"/>
  <c r="D4" i="14"/>
  <c r="L112" i="8" s="1"/>
  <c r="D3" i="14"/>
  <c r="D2" i="14"/>
  <c r="B5" i="13"/>
  <c r="A2" i="13"/>
  <c r="A1" i="13"/>
  <c r="J16" i="12"/>
  <c r="B5" i="12"/>
  <c r="A2" i="12"/>
  <c r="A1" i="12"/>
  <c r="B5" i="11"/>
  <c r="A2" i="11"/>
  <c r="A1" i="11"/>
  <c r="I8" i="10"/>
  <c r="J8" i="10" s="1"/>
  <c r="J9" i="10" s="1"/>
  <c r="G8" i="10"/>
  <c r="C8" i="10"/>
  <c r="G7" i="10"/>
  <c r="C7" i="10"/>
  <c r="B5" i="10"/>
  <c r="A2" i="10"/>
  <c r="A1" i="10"/>
  <c r="G60" i="9"/>
  <c r="C60" i="9"/>
  <c r="I59" i="9"/>
  <c r="G59" i="9"/>
  <c r="C59" i="9"/>
  <c r="I58" i="9"/>
  <c r="G58" i="9"/>
  <c r="C58" i="9"/>
  <c r="I57" i="9"/>
  <c r="G57" i="9"/>
  <c r="C57" i="9"/>
  <c r="I56" i="9"/>
  <c r="J56" i="9" s="1"/>
  <c r="G56" i="9"/>
  <c r="C56" i="9"/>
  <c r="I55" i="9"/>
  <c r="J55" i="9" s="1"/>
  <c r="G55" i="9"/>
  <c r="C55" i="9"/>
  <c r="G54" i="9"/>
  <c r="C54" i="9"/>
  <c r="I53" i="9"/>
  <c r="G53" i="9"/>
  <c r="C53" i="9"/>
  <c r="L52" i="9"/>
  <c r="G52" i="9"/>
  <c r="C52" i="9"/>
  <c r="I48" i="9"/>
  <c r="J48" i="9" s="1"/>
  <c r="J49" i="9" s="1"/>
  <c r="I47" i="9" s="1"/>
  <c r="G48" i="9"/>
  <c r="C48" i="9"/>
  <c r="L47" i="9"/>
  <c r="G47" i="9"/>
  <c r="C47" i="9"/>
  <c r="I43" i="9"/>
  <c r="J43" i="9" s="1"/>
  <c r="J44" i="9" s="1"/>
  <c r="G43" i="9"/>
  <c r="C43" i="9"/>
  <c r="L42" i="9"/>
  <c r="G42" i="9"/>
  <c r="C42" i="9"/>
  <c r="I38" i="9"/>
  <c r="J38" i="9" s="1"/>
  <c r="J39" i="9" s="1"/>
  <c r="I37" i="9" s="1"/>
  <c r="G38" i="9"/>
  <c r="C38" i="9"/>
  <c r="L37" i="9"/>
  <c r="G37" i="9"/>
  <c r="C37" i="9"/>
  <c r="G33" i="9"/>
  <c r="C33" i="9"/>
  <c r="G32" i="9"/>
  <c r="C32" i="9"/>
  <c r="G28" i="9"/>
  <c r="C28" i="9"/>
  <c r="G27" i="9"/>
  <c r="C27" i="9"/>
  <c r="G23" i="9"/>
  <c r="C23" i="9"/>
  <c r="L22" i="9"/>
  <c r="G22" i="9"/>
  <c r="C22" i="9"/>
  <c r="G18" i="9"/>
  <c r="C18" i="9"/>
  <c r="L17" i="9"/>
  <c r="G17" i="9"/>
  <c r="C17" i="9"/>
  <c r="G13" i="9"/>
  <c r="C13" i="9"/>
  <c r="G12" i="9"/>
  <c r="C12" i="9"/>
  <c r="I8" i="9"/>
  <c r="J8" i="9" s="1"/>
  <c r="J9" i="9" s="1"/>
  <c r="G8" i="9"/>
  <c r="C8" i="9"/>
  <c r="G7" i="9"/>
  <c r="C7" i="9"/>
  <c r="B5" i="9"/>
  <c r="A2" i="9"/>
  <c r="A1" i="9"/>
  <c r="G139" i="8"/>
  <c r="C139" i="8"/>
  <c r="I138" i="8"/>
  <c r="J138" i="8" s="1"/>
  <c r="G138" i="8"/>
  <c r="C138" i="8"/>
  <c r="G137" i="8"/>
  <c r="C137" i="8"/>
  <c r="L136" i="8"/>
  <c r="G136" i="8"/>
  <c r="C136" i="8"/>
  <c r="G132" i="8"/>
  <c r="C132" i="8"/>
  <c r="G131" i="8"/>
  <c r="C131" i="8"/>
  <c r="I130" i="8"/>
  <c r="G130" i="8"/>
  <c r="C130" i="8"/>
  <c r="I129" i="8"/>
  <c r="J129" i="8" s="1"/>
  <c r="G129" i="8"/>
  <c r="C129" i="8"/>
  <c r="I128" i="8"/>
  <c r="G128" i="8"/>
  <c r="C128" i="8"/>
  <c r="G127" i="8"/>
  <c r="C127" i="8"/>
  <c r="G126" i="8"/>
  <c r="C126" i="8"/>
  <c r="I125" i="8"/>
  <c r="G125" i="8"/>
  <c r="C125" i="8"/>
  <c r="L124" i="8"/>
  <c r="G124" i="8"/>
  <c r="C124" i="8"/>
  <c r="G120" i="8"/>
  <c r="C120" i="8"/>
  <c r="G119" i="8"/>
  <c r="C119" i="8"/>
  <c r="I118" i="8"/>
  <c r="G118" i="8"/>
  <c r="C118" i="8"/>
  <c r="I117" i="8"/>
  <c r="G117" i="8"/>
  <c r="C117" i="8"/>
  <c r="I116" i="8"/>
  <c r="G116" i="8"/>
  <c r="C116" i="8"/>
  <c r="I115" i="8"/>
  <c r="J115" i="8" s="1"/>
  <c r="G115" i="8"/>
  <c r="C115" i="8"/>
  <c r="G114" i="8"/>
  <c r="C114" i="8"/>
  <c r="I113" i="8"/>
  <c r="J113" i="8" s="1"/>
  <c r="G113" i="8"/>
  <c r="C113" i="8"/>
  <c r="G112" i="8"/>
  <c r="C112" i="8"/>
  <c r="I108" i="8"/>
  <c r="G108" i="8"/>
  <c r="C108" i="8"/>
  <c r="G107" i="8"/>
  <c r="C107" i="8"/>
  <c r="I103" i="8"/>
  <c r="G103" i="8"/>
  <c r="C103" i="8"/>
  <c r="G102" i="8"/>
  <c r="C102" i="8"/>
  <c r="G98" i="8"/>
  <c r="C98" i="8"/>
  <c r="I97" i="8"/>
  <c r="G97" i="8"/>
  <c r="C97" i="8"/>
  <c r="G96" i="8"/>
  <c r="C96" i="8"/>
  <c r="I95" i="8"/>
  <c r="J95" i="8" s="1"/>
  <c r="G95" i="8"/>
  <c r="C95" i="8"/>
  <c r="I94" i="8"/>
  <c r="G94" i="8"/>
  <c r="C94" i="8"/>
  <c r="G93" i="8"/>
  <c r="C93" i="8"/>
  <c r="G92" i="8"/>
  <c r="C92" i="8"/>
  <c r="I91" i="8"/>
  <c r="G91" i="8"/>
  <c r="C91" i="8"/>
  <c r="G90" i="8"/>
  <c r="C90" i="8"/>
  <c r="G86" i="8"/>
  <c r="C86" i="8"/>
  <c r="G85" i="8"/>
  <c r="C85" i="8"/>
  <c r="G81" i="8"/>
  <c r="C81" i="8"/>
  <c r="G80" i="8"/>
  <c r="C80" i="8"/>
  <c r="G76" i="8"/>
  <c r="C76" i="8"/>
  <c r="L75" i="8"/>
  <c r="G75" i="8"/>
  <c r="C75" i="8"/>
  <c r="G71" i="8"/>
  <c r="C71" i="8"/>
  <c r="L70" i="8"/>
  <c r="G70" i="8"/>
  <c r="C70" i="8"/>
  <c r="I66" i="8"/>
  <c r="G66" i="8"/>
  <c r="C66" i="8"/>
  <c r="L65" i="8"/>
  <c r="G65" i="8"/>
  <c r="C65" i="8"/>
  <c r="G61" i="8"/>
  <c r="C61" i="8"/>
  <c r="G60" i="8"/>
  <c r="C60" i="8"/>
  <c r="I56" i="8"/>
  <c r="G56" i="8"/>
  <c r="C56" i="8"/>
  <c r="L55" i="8"/>
  <c r="G55" i="8"/>
  <c r="C55" i="8"/>
  <c r="I51" i="8"/>
  <c r="J51" i="8" s="1"/>
  <c r="J52" i="8" s="1"/>
  <c r="G51" i="8"/>
  <c r="C51" i="8"/>
  <c r="G50" i="8"/>
  <c r="C50" i="8"/>
  <c r="G46" i="8"/>
  <c r="C46" i="8"/>
  <c r="G45" i="8"/>
  <c r="C45" i="8"/>
  <c r="G41" i="8"/>
  <c r="C41" i="8"/>
  <c r="G40" i="8"/>
  <c r="C40" i="8"/>
  <c r="G39" i="8"/>
  <c r="C39" i="8"/>
  <c r="G35" i="8"/>
  <c r="C35" i="8"/>
  <c r="G34" i="8"/>
  <c r="C34" i="8"/>
  <c r="G33" i="8"/>
  <c r="C33" i="8"/>
  <c r="G32" i="8"/>
  <c r="C32" i="8"/>
  <c r="L31" i="8"/>
  <c r="G31" i="8"/>
  <c r="C31" i="8"/>
  <c r="G27" i="8"/>
  <c r="C27" i="8"/>
  <c r="I26" i="8"/>
  <c r="G26" i="8"/>
  <c r="C26" i="8"/>
  <c r="G25" i="8"/>
  <c r="C25" i="8"/>
  <c r="G24" i="8"/>
  <c r="C24" i="8"/>
  <c r="I23" i="8"/>
  <c r="J23" i="8" s="1"/>
  <c r="G23" i="8"/>
  <c r="C23" i="8"/>
  <c r="I22" i="8"/>
  <c r="J22" i="8" s="1"/>
  <c r="G22" i="8"/>
  <c r="C22" i="8"/>
  <c r="G21" i="8"/>
  <c r="C21" i="8"/>
  <c r="G20" i="8"/>
  <c r="C20" i="8"/>
  <c r="G19" i="8"/>
  <c r="C19" i="8"/>
  <c r="G15" i="8"/>
  <c r="C15" i="8"/>
  <c r="G14" i="8"/>
  <c r="C14" i="8"/>
  <c r="I13" i="8"/>
  <c r="G13" i="8"/>
  <c r="C13" i="8"/>
  <c r="I12" i="8"/>
  <c r="G12" i="8"/>
  <c r="C12" i="8"/>
  <c r="I11" i="8"/>
  <c r="J11" i="8" s="1"/>
  <c r="G11" i="8"/>
  <c r="C11" i="8"/>
  <c r="G10" i="8"/>
  <c r="C10" i="8"/>
  <c r="G9" i="8"/>
  <c r="C9" i="8"/>
  <c r="I8" i="8"/>
  <c r="J8" i="8" s="1"/>
  <c r="G8" i="8"/>
  <c r="C8" i="8"/>
  <c r="L7" i="8"/>
  <c r="G7" i="8"/>
  <c r="C7" i="8"/>
  <c r="B5" i="8"/>
  <c r="A2" i="8"/>
  <c r="A1" i="8"/>
  <c r="G175" i="7"/>
  <c r="C175" i="7"/>
  <c r="G174" i="7"/>
  <c r="C174" i="7"/>
  <c r="G173" i="7"/>
  <c r="C173" i="7"/>
  <c r="G172" i="7"/>
  <c r="C172" i="7"/>
  <c r="G168" i="7"/>
  <c r="C168" i="7"/>
  <c r="G167" i="7"/>
  <c r="C167" i="7"/>
  <c r="L166" i="7"/>
  <c r="G166" i="7"/>
  <c r="C166" i="7"/>
  <c r="G162" i="7"/>
  <c r="C162" i="7"/>
  <c r="G161" i="7"/>
  <c r="C161" i="7"/>
  <c r="I160" i="7"/>
  <c r="G160" i="7"/>
  <c r="C160" i="7"/>
  <c r="I159" i="7"/>
  <c r="G159" i="7"/>
  <c r="C159" i="7"/>
  <c r="I158" i="7"/>
  <c r="J158" i="7" s="1"/>
  <c r="G158" i="7"/>
  <c r="C158" i="7"/>
  <c r="I157" i="7"/>
  <c r="G157" i="7"/>
  <c r="C157" i="7"/>
  <c r="G156" i="7"/>
  <c r="C156" i="7"/>
  <c r="G152" i="7"/>
  <c r="C152" i="7"/>
  <c r="G151" i="7"/>
  <c r="C151" i="7"/>
  <c r="I150" i="7"/>
  <c r="J150" i="7" s="1"/>
  <c r="G150" i="7"/>
  <c r="C150" i="7"/>
  <c r="I149" i="7"/>
  <c r="G149" i="7"/>
  <c r="C149" i="7"/>
  <c r="I148" i="7"/>
  <c r="G148" i="7"/>
  <c r="C148" i="7"/>
  <c r="I147" i="7"/>
  <c r="J147" i="7" s="1"/>
  <c r="G147" i="7"/>
  <c r="C147" i="7"/>
  <c r="L146" i="7"/>
  <c r="G146" i="7"/>
  <c r="C146" i="7"/>
  <c r="G142" i="7"/>
  <c r="C142" i="7"/>
  <c r="G141" i="7"/>
  <c r="C141" i="7"/>
  <c r="I140" i="7"/>
  <c r="J140" i="7" s="1"/>
  <c r="G140" i="7"/>
  <c r="C140" i="7"/>
  <c r="I139" i="7"/>
  <c r="G139" i="7"/>
  <c r="C139" i="7"/>
  <c r="I138" i="7"/>
  <c r="J138" i="7" s="1"/>
  <c r="G138" i="7"/>
  <c r="C138" i="7"/>
  <c r="I137" i="7"/>
  <c r="G137" i="7"/>
  <c r="C137" i="7"/>
  <c r="G136" i="7"/>
  <c r="C136" i="7"/>
  <c r="G132" i="7"/>
  <c r="C132" i="7"/>
  <c r="G131" i="7"/>
  <c r="C131" i="7"/>
  <c r="I130" i="7"/>
  <c r="G130" i="7"/>
  <c r="C130" i="7"/>
  <c r="I129" i="7"/>
  <c r="J129" i="7" s="1"/>
  <c r="G129" i="7"/>
  <c r="C129" i="7"/>
  <c r="L128" i="7"/>
  <c r="G128" i="7"/>
  <c r="C128" i="7"/>
  <c r="G124" i="7"/>
  <c r="C124" i="7"/>
  <c r="G123" i="7"/>
  <c r="C123" i="7"/>
  <c r="G122" i="7"/>
  <c r="C122" i="7"/>
  <c r="I121" i="7"/>
  <c r="G121" i="7"/>
  <c r="C121" i="7"/>
  <c r="I120" i="7"/>
  <c r="J120" i="7" s="1"/>
  <c r="G120" i="7"/>
  <c r="C120" i="7"/>
  <c r="G119" i="7"/>
  <c r="C119" i="7"/>
  <c r="G118" i="7"/>
  <c r="C118" i="7"/>
  <c r="I117" i="7"/>
  <c r="J117" i="7" s="1"/>
  <c r="G117" i="7"/>
  <c r="C117" i="7"/>
  <c r="L116" i="7"/>
  <c r="G116" i="7"/>
  <c r="C116" i="7"/>
  <c r="G112" i="7"/>
  <c r="C112" i="7"/>
  <c r="G111" i="7"/>
  <c r="C111" i="7"/>
  <c r="G110" i="7"/>
  <c r="C110" i="7"/>
  <c r="I109" i="7"/>
  <c r="G109" i="7"/>
  <c r="C109" i="7"/>
  <c r="I108" i="7"/>
  <c r="G108" i="7"/>
  <c r="C108" i="7"/>
  <c r="G107" i="7"/>
  <c r="C107" i="7"/>
  <c r="G106" i="7"/>
  <c r="C106" i="7"/>
  <c r="I105" i="7"/>
  <c r="G105" i="7"/>
  <c r="C105" i="7"/>
  <c r="L104" i="7"/>
  <c r="G104" i="7"/>
  <c r="C104" i="7"/>
  <c r="G100" i="7"/>
  <c r="C100" i="7"/>
  <c r="G99" i="7"/>
  <c r="C99" i="7"/>
  <c r="G98" i="7"/>
  <c r="C98" i="7"/>
  <c r="G97" i="7"/>
  <c r="C97" i="7"/>
  <c r="G93" i="7"/>
  <c r="C93" i="7"/>
  <c r="G92" i="7"/>
  <c r="C92" i="7"/>
  <c r="G91" i="7"/>
  <c r="C91" i="7"/>
  <c r="G90" i="7"/>
  <c r="C90" i="7"/>
  <c r="G89" i="7"/>
  <c r="C89" i="7"/>
  <c r="L88" i="7"/>
  <c r="G88" i="7"/>
  <c r="C88" i="7"/>
  <c r="G84" i="7"/>
  <c r="C84" i="7"/>
  <c r="I83" i="7"/>
  <c r="G83" i="7"/>
  <c r="C83" i="7"/>
  <c r="G82" i="7"/>
  <c r="C82" i="7"/>
  <c r="I81" i="7"/>
  <c r="J81" i="7" s="1"/>
  <c r="G81" i="7"/>
  <c r="C81" i="7"/>
  <c r="I80" i="7"/>
  <c r="J80" i="7" s="1"/>
  <c r="G80" i="7"/>
  <c r="C80" i="7"/>
  <c r="G79" i="7"/>
  <c r="C79" i="7"/>
  <c r="I78" i="7"/>
  <c r="J78" i="7" s="1"/>
  <c r="G78" i="7"/>
  <c r="C78" i="7"/>
  <c r="I77" i="7"/>
  <c r="J77" i="7" s="1"/>
  <c r="G77" i="7"/>
  <c r="C77" i="7"/>
  <c r="L76" i="7"/>
  <c r="G76" i="7"/>
  <c r="C76" i="7"/>
  <c r="G72" i="7"/>
  <c r="C72" i="7"/>
  <c r="I71" i="7"/>
  <c r="J71" i="7" s="1"/>
  <c r="G71" i="7"/>
  <c r="C71" i="7"/>
  <c r="I70" i="7"/>
  <c r="J70" i="7" s="1"/>
  <c r="G70" i="7"/>
  <c r="C70" i="7"/>
  <c r="G69" i="7"/>
  <c r="C69" i="7"/>
  <c r="I68" i="7"/>
  <c r="G68" i="7"/>
  <c r="C68" i="7"/>
  <c r="I67" i="7"/>
  <c r="G67" i="7"/>
  <c r="C67" i="7"/>
  <c r="G66" i="7"/>
  <c r="C66" i="7"/>
  <c r="G65" i="7"/>
  <c r="C65" i="7"/>
  <c r="L64" i="7"/>
  <c r="G64" i="7"/>
  <c r="C64" i="7"/>
  <c r="G60" i="7"/>
  <c r="C60" i="7"/>
  <c r="G59" i="7"/>
  <c r="C59" i="7"/>
  <c r="I58" i="7"/>
  <c r="G58" i="7"/>
  <c r="C58" i="7"/>
  <c r="I57" i="7"/>
  <c r="G57" i="7"/>
  <c r="C57" i="7"/>
  <c r="I56" i="7"/>
  <c r="J56" i="7" s="1"/>
  <c r="G56" i="7"/>
  <c r="C56" i="7"/>
  <c r="G55" i="7"/>
  <c r="C55" i="7"/>
  <c r="G54" i="7"/>
  <c r="C54" i="7"/>
  <c r="I53" i="7"/>
  <c r="G53" i="7"/>
  <c r="C53" i="7"/>
  <c r="L52" i="7"/>
  <c r="G52" i="7"/>
  <c r="C52" i="7"/>
  <c r="G48" i="7"/>
  <c r="C48" i="7"/>
  <c r="G47" i="7"/>
  <c r="C47" i="7"/>
  <c r="I46" i="7"/>
  <c r="G46" i="7"/>
  <c r="C46" i="7"/>
  <c r="I45" i="7"/>
  <c r="G45" i="7"/>
  <c r="C45" i="7"/>
  <c r="I44" i="7"/>
  <c r="G44" i="7"/>
  <c r="C44" i="7"/>
  <c r="G43" i="7"/>
  <c r="C43" i="7"/>
  <c r="G42" i="7"/>
  <c r="C42" i="7"/>
  <c r="I41" i="7"/>
  <c r="G41" i="7"/>
  <c r="C41" i="7"/>
  <c r="L40" i="7"/>
  <c r="G40" i="7"/>
  <c r="C40" i="7"/>
  <c r="G36" i="7"/>
  <c r="C36" i="7"/>
  <c r="I35" i="7"/>
  <c r="G35" i="7"/>
  <c r="C35" i="7"/>
  <c r="G34" i="7"/>
  <c r="C34" i="7"/>
  <c r="I33" i="7"/>
  <c r="J33" i="7" s="1"/>
  <c r="G33" i="7"/>
  <c r="C33" i="7"/>
  <c r="I32" i="7"/>
  <c r="G32" i="7"/>
  <c r="C32" i="7"/>
  <c r="G31" i="7"/>
  <c r="C31" i="7"/>
  <c r="G30" i="7"/>
  <c r="C30" i="7"/>
  <c r="G29" i="7"/>
  <c r="C29" i="7"/>
  <c r="L28" i="7"/>
  <c r="G28" i="7"/>
  <c r="C28" i="7"/>
  <c r="G24" i="7"/>
  <c r="C24" i="7"/>
  <c r="G23" i="7"/>
  <c r="C23" i="7"/>
  <c r="G22" i="7"/>
  <c r="C22" i="7"/>
  <c r="G21" i="7"/>
  <c r="C21" i="7"/>
  <c r="I20" i="7"/>
  <c r="J20" i="7" s="1"/>
  <c r="G20" i="7"/>
  <c r="C20" i="7"/>
  <c r="I19" i="7"/>
  <c r="J19" i="7" s="1"/>
  <c r="G19" i="7"/>
  <c r="C19" i="7"/>
  <c r="I18" i="7"/>
  <c r="J18" i="7" s="1"/>
  <c r="G18" i="7"/>
  <c r="C18" i="7"/>
  <c r="L17" i="7"/>
  <c r="G17" i="7"/>
  <c r="C17" i="7"/>
  <c r="I13" i="7"/>
  <c r="J13" i="7" s="1"/>
  <c r="J14" i="7" s="1"/>
  <c r="I12" i="7" s="1"/>
  <c r="G13" i="7"/>
  <c r="C13" i="7"/>
  <c r="L12" i="7"/>
  <c r="M12" i="7" s="1"/>
  <c r="G12" i="7"/>
  <c r="C12" i="7"/>
  <c r="G8" i="7"/>
  <c r="C8" i="7"/>
  <c r="L7" i="7"/>
  <c r="G7" i="7"/>
  <c r="C7" i="7"/>
  <c r="B5" i="7"/>
  <c r="A2" i="7"/>
  <c r="A1" i="7"/>
  <c r="G119" i="6"/>
  <c r="C119" i="6"/>
  <c r="G112" i="6"/>
  <c r="C112" i="6"/>
  <c r="I111" i="6"/>
  <c r="G111" i="6"/>
  <c r="C111" i="6"/>
  <c r="G110" i="6"/>
  <c r="C110" i="6"/>
  <c r="G103" i="6"/>
  <c r="C103" i="6"/>
  <c r="G102" i="6"/>
  <c r="C102" i="6"/>
  <c r="G101" i="6"/>
  <c r="C101" i="6"/>
  <c r="G100" i="6"/>
  <c r="C100" i="6"/>
  <c r="G99" i="6"/>
  <c r="C99" i="6"/>
  <c r="G98" i="6"/>
  <c r="C98" i="6"/>
  <c r="L97" i="6"/>
  <c r="G97" i="6"/>
  <c r="C97" i="6"/>
  <c r="G91" i="6"/>
  <c r="C91" i="6"/>
  <c r="G90" i="6"/>
  <c r="C90" i="6"/>
  <c r="I89" i="6"/>
  <c r="G89" i="6"/>
  <c r="C89" i="6"/>
  <c r="G82" i="6"/>
  <c r="C82" i="6"/>
  <c r="G81" i="6"/>
  <c r="C81" i="6"/>
  <c r="I80" i="6"/>
  <c r="J80" i="6" s="1"/>
  <c r="G80" i="6"/>
  <c r="C80" i="6"/>
  <c r="L79" i="6"/>
  <c r="G79" i="6"/>
  <c r="C79" i="6"/>
  <c r="G73" i="6"/>
  <c r="C73" i="6"/>
  <c r="G72" i="6"/>
  <c r="C72" i="6"/>
  <c r="G71" i="6"/>
  <c r="C71" i="6"/>
  <c r="G70" i="6"/>
  <c r="C70" i="6"/>
  <c r="G69" i="6"/>
  <c r="C69" i="6"/>
  <c r="G68" i="6"/>
  <c r="C68" i="6"/>
  <c r="L67" i="6"/>
  <c r="G67" i="6"/>
  <c r="C67" i="6"/>
  <c r="G61" i="6"/>
  <c r="C61" i="6"/>
  <c r="G54" i="6"/>
  <c r="C54" i="6"/>
  <c r="G53" i="6"/>
  <c r="C53" i="6"/>
  <c r="G52" i="6"/>
  <c r="C52" i="6"/>
  <c r="G46" i="6"/>
  <c r="C46" i="6"/>
  <c r="G45" i="6"/>
  <c r="C45" i="6"/>
  <c r="G44" i="6"/>
  <c r="C44" i="6"/>
  <c r="G38" i="6"/>
  <c r="C38" i="6"/>
  <c r="I37" i="6"/>
  <c r="J37" i="6" s="1"/>
  <c r="G37" i="6"/>
  <c r="C37" i="6"/>
  <c r="G36" i="6"/>
  <c r="C36" i="6"/>
  <c r="G35" i="6"/>
  <c r="C35" i="6"/>
  <c r="G34" i="6"/>
  <c r="C34" i="6"/>
  <c r="G33" i="6"/>
  <c r="C33" i="6"/>
  <c r="G32" i="6"/>
  <c r="C32" i="6"/>
  <c r="G25" i="6"/>
  <c r="C25" i="6"/>
  <c r="I24" i="6"/>
  <c r="J24" i="6" s="1"/>
  <c r="G24" i="6"/>
  <c r="C24" i="6"/>
  <c r="I23" i="6"/>
  <c r="J23" i="6" s="1"/>
  <c r="G23" i="6"/>
  <c r="C23" i="6"/>
  <c r="I22" i="6"/>
  <c r="J22" i="6" s="1"/>
  <c r="G22" i="6"/>
  <c r="C22" i="6"/>
  <c r="I21" i="6"/>
  <c r="G21" i="6"/>
  <c r="C21" i="6"/>
  <c r="I20" i="6"/>
  <c r="G20" i="6"/>
  <c r="C20" i="6"/>
  <c r="G19" i="6"/>
  <c r="C19" i="6"/>
  <c r="G13" i="6"/>
  <c r="C13" i="6"/>
  <c r="I12" i="6"/>
  <c r="J12" i="6" s="1"/>
  <c r="G12" i="6"/>
  <c r="C12" i="6"/>
  <c r="I11" i="6"/>
  <c r="J11" i="6" s="1"/>
  <c r="G11" i="6"/>
  <c r="C11" i="6"/>
  <c r="I10" i="6"/>
  <c r="J10" i="6" s="1"/>
  <c r="G10" i="6"/>
  <c r="C10" i="6"/>
  <c r="I9" i="6"/>
  <c r="G9" i="6"/>
  <c r="C9" i="6"/>
  <c r="I8" i="6"/>
  <c r="J8" i="6" s="1"/>
  <c r="G8" i="6"/>
  <c r="C8" i="6"/>
  <c r="G7" i="6"/>
  <c r="C7" i="6"/>
  <c r="B5" i="6"/>
  <c r="G48" i="5" s="1"/>
  <c r="G26" i="4" s="1"/>
  <c r="A2" i="6"/>
  <c r="A1" i="6"/>
  <c r="C52" i="5"/>
  <c r="C29" i="4" s="1"/>
  <c r="B5" i="5"/>
  <c r="A2" i="5"/>
  <c r="A1" i="5"/>
  <c r="B33" i="4"/>
  <c r="B32" i="4"/>
  <c r="B28" i="4"/>
  <c r="B26" i="4"/>
  <c r="B25" i="4"/>
  <c r="B23" i="4"/>
  <c r="B22" i="4"/>
  <c r="B20" i="4"/>
  <c r="B16" i="4"/>
  <c r="B15" i="4"/>
  <c r="B11" i="4"/>
  <c r="B9" i="4"/>
  <c r="B7" i="4"/>
  <c r="B5" i="4"/>
  <c r="A2" i="4"/>
  <c r="A1" i="4"/>
  <c r="B5" i="3"/>
  <c r="A2" i="3"/>
  <c r="A1" i="3"/>
  <c r="B5" i="2"/>
  <c r="A2" i="2"/>
  <c r="A1" i="2"/>
  <c r="J41" i="13"/>
  <c r="I41" i="13"/>
  <c r="H41" i="13"/>
  <c r="G41" i="13"/>
  <c r="J37" i="13"/>
  <c r="I37" i="13"/>
  <c r="H37" i="13"/>
  <c r="G37" i="13"/>
  <c r="J30" i="13"/>
  <c r="I30" i="13"/>
  <c r="H30" i="13"/>
  <c r="G30" i="13"/>
  <c r="J18" i="13"/>
  <c r="J43" i="13" s="1"/>
  <c r="I18" i="13"/>
  <c r="I43" i="13" s="1"/>
  <c r="H5" i="1" s="1"/>
  <c r="I4" i="16" s="1"/>
  <c r="H18" i="13"/>
  <c r="H43" i="13" s="1"/>
  <c r="G18" i="13"/>
  <c r="G43" i="13" s="1"/>
  <c r="J15" i="12"/>
  <c r="J12" i="12" s="1"/>
  <c r="J17" i="12" s="1"/>
  <c r="C15" i="12"/>
  <c r="J59" i="9"/>
  <c r="J58" i="9"/>
  <c r="J57" i="9"/>
  <c r="J53" i="9"/>
  <c r="J130" i="8"/>
  <c r="J128" i="8"/>
  <c r="J125" i="8"/>
  <c r="J118" i="8"/>
  <c r="J117" i="8"/>
  <c r="J116" i="8"/>
  <c r="J108" i="8"/>
  <c r="J109" i="8" s="1"/>
  <c r="J103" i="8"/>
  <c r="J104" i="8" s="1"/>
  <c r="J97" i="8"/>
  <c r="J94" i="8"/>
  <c r="J91" i="8"/>
  <c r="J66" i="8"/>
  <c r="J67" i="8" s="1"/>
  <c r="I65" i="8" s="1"/>
  <c r="J56" i="8"/>
  <c r="J57" i="8" s="1"/>
  <c r="J26" i="8"/>
  <c r="J13" i="8"/>
  <c r="J12" i="8"/>
  <c r="J160" i="7"/>
  <c r="J159" i="7"/>
  <c r="J157" i="7"/>
  <c r="J149" i="7"/>
  <c r="J148" i="7"/>
  <c r="J139" i="7"/>
  <c r="J137" i="7"/>
  <c r="J130" i="7"/>
  <c r="J121" i="7"/>
  <c r="J109" i="7"/>
  <c r="J108" i="7"/>
  <c r="J105" i="7"/>
  <c r="J83" i="7"/>
  <c r="J68" i="7"/>
  <c r="J67" i="7"/>
  <c r="J58" i="7"/>
  <c r="J57" i="7"/>
  <c r="J53" i="7"/>
  <c r="J46" i="7"/>
  <c r="J45" i="7"/>
  <c r="J44" i="7"/>
  <c r="J41" i="7"/>
  <c r="J35" i="7"/>
  <c r="J32" i="7"/>
  <c r="H119" i="6"/>
  <c r="H112" i="6"/>
  <c r="H111" i="6"/>
  <c r="H110" i="6"/>
  <c r="H103" i="6"/>
  <c r="H102" i="6"/>
  <c r="H101" i="6"/>
  <c r="H100" i="6"/>
  <c r="H99" i="6"/>
  <c r="H98" i="6"/>
  <c r="H91" i="6"/>
  <c r="H90" i="6"/>
  <c r="H89" i="6"/>
  <c r="H82" i="6"/>
  <c r="H81" i="6"/>
  <c r="H80" i="6"/>
  <c r="H73" i="6"/>
  <c r="H72" i="6"/>
  <c r="H71" i="6"/>
  <c r="H70" i="6"/>
  <c r="H69" i="6"/>
  <c r="H68" i="6"/>
  <c r="H61" i="6"/>
  <c r="H54" i="6"/>
  <c r="H53" i="6"/>
  <c r="H46" i="6"/>
  <c r="H45" i="6"/>
  <c r="H38" i="6"/>
  <c r="H37" i="6"/>
  <c r="H36" i="6"/>
  <c r="H35" i="6"/>
  <c r="H34" i="6"/>
  <c r="H33" i="6"/>
  <c r="H32" i="6"/>
  <c r="H25" i="6"/>
  <c r="H24" i="6"/>
  <c r="H23" i="6"/>
  <c r="H22" i="6"/>
  <c r="H21" i="6"/>
  <c r="J20" i="6"/>
  <c r="H20" i="6"/>
  <c r="H13" i="6"/>
  <c r="H12" i="6"/>
  <c r="H11" i="6"/>
  <c r="H10" i="6"/>
  <c r="H9" i="6"/>
  <c r="H8" i="6"/>
  <c r="O60" i="5"/>
  <c r="P59" i="5" s="1"/>
  <c r="H33" i="4" s="1"/>
  <c r="M60" i="5"/>
  <c r="M57" i="5"/>
  <c r="N57" i="5" s="1"/>
  <c r="O57" i="5" s="1"/>
  <c r="P56" i="5" s="1"/>
  <c r="H32" i="4" s="1"/>
  <c r="N53" i="5"/>
  <c r="O53" i="5" s="1"/>
  <c r="P52" i="5" s="1"/>
  <c r="H29" i="4" s="1"/>
  <c r="M53" i="5"/>
  <c r="M49" i="5"/>
  <c r="N49" i="5" s="1"/>
  <c r="O49" i="5" s="1"/>
  <c r="P48" i="5" s="1"/>
  <c r="N45" i="5"/>
  <c r="O45" i="5" s="1"/>
  <c r="P44" i="5" s="1"/>
  <c r="H23" i="4" s="1"/>
  <c r="N41" i="5"/>
  <c r="O41" i="5" s="1"/>
  <c r="P40" i="5" s="1"/>
  <c r="H20" i="4" s="1"/>
  <c r="O37" i="5"/>
  <c r="N37" i="5"/>
  <c r="M37" i="5"/>
  <c r="M36" i="5"/>
  <c r="N36" i="5" s="1"/>
  <c r="O36" i="5" s="1"/>
  <c r="M35" i="5"/>
  <c r="N35" i="5" s="1"/>
  <c r="O35" i="5" s="1"/>
  <c r="N34" i="5"/>
  <c r="O34" i="5" s="1"/>
  <c r="M34" i="5"/>
  <c r="M33" i="5"/>
  <c r="N33" i="5" s="1"/>
  <c r="O33" i="5" s="1"/>
  <c r="M32" i="5"/>
  <c r="N32" i="5" s="1"/>
  <c r="O32" i="5" s="1"/>
  <c r="N31" i="5"/>
  <c r="O31" i="5" s="1"/>
  <c r="M31" i="5"/>
  <c r="N30" i="5"/>
  <c r="O30" i="5" s="1"/>
  <c r="M30" i="5"/>
  <c r="M29" i="5"/>
  <c r="N29" i="5" s="1"/>
  <c r="O29" i="5" s="1"/>
  <c r="M28" i="5"/>
  <c r="N28" i="5" s="1"/>
  <c r="O28" i="5" s="1"/>
  <c r="N27" i="5"/>
  <c r="O27" i="5" s="1"/>
  <c r="M27" i="5"/>
  <c r="N24" i="5"/>
  <c r="O24" i="5" s="1"/>
  <c r="P23" i="5" s="1"/>
  <c r="H16" i="4" s="1"/>
  <c r="M21" i="5"/>
  <c r="N21" i="5" s="1"/>
  <c r="O21" i="5" s="1"/>
  <c r="O20" i="5"/>
  <c r="P19" i="5" s="1"/>
  <c r="H15" i="4" s="1"/>
  <c r="N20" i="5"/>
  <c r="M20" i="5"/>
  <c r="N16" i="5"/>
  <c r="O16" i="5" s="1"/>
  <c r="P15" i="5" s="1"/>
  <c r="H12" i="4" s="1"/>
  <c r="M16" i="5"/>
  <c r="N12" i="5"/>
  <c r="O12" i="5" s="1"/>
  <c r="P11" i="5" s="1"/>
  <c r="M12" i="5"/>
  <c r="M9" i="5"/>
  <c r="N9" i="5" s="1"/>
  <c r="O9" i="5" s="1"/>
  <c r="P8" i="5" s="1"/>
  <c r="N15" i="3"/>
  <c r="N14" i="3"/>
  <c r="N13" i="3"/>
  <c r="N12" i="3"/>
  <c r="N11" i="3"/>
  <c r="N10" i="3"/>
  <c r="N9" i="3"/>
  <c r="N8" i="3"/>
  <c r="I92" i="8" l="1"/>
  <c r="J92" i="8" s="1"/>
  <c r="M47" i="9"/>
  <c r="I20" i="8"/>
  <c r="J20" i="8" s="1"/>
  <c r="I65" i="7"/>
  <c r="J65" i="7" s="1"/>
  <c r="I14" i="8"/>
  <c r="J14" i="8" s="1"/>
  <c r="I71" i="8"/>
  <c r="J71" i="8" s="1"/>
  <c r="J72" i="8" s="1"/>
  <c r="I106" i="7"/>
  <c r="J106" i="7" s="1"/>
  <c r="I118" i="7"/>
  <c r="J118" i="7" s="1"/>
  <c r="J35" i="6"/>
  <c r="I9" i="8"/>
  <c r="J9" i="8" s="1"/>
  <c r="M65" i="8"/>
  <c r="I30" i="7"/>
  <c r="J30" i="7" s="1"/>
  <c r="I42" i="7"/>
  <c r="J42" i="7" s="1"/>
  <c r="I54" i="7"/>
  <c r="J54" i="7" s="1"/>
  <c r="I69" i="7"/>
  <c r="J69" i="7" s="1"/>
  <c r="J89" i="6"/>
  <c r="I54" i="9"/>
  <c r="J54" i="9" s="1"/>
  <c r="M60" i="8"/>
  <c r="I96" i="8"/>
  <c r="J96" i="8" s="1"/>
  <c r="I114" i="8"/>
  <c r="J114" i="8" s="1"/>
  <c r="K5" i="1"/>
  <c r="O5" i="3" s="1"/>
  <c r="M37" i="9"/>
  <c r="J21" i="6"/>
  <c r="J9" i="6"/>
  <c r="C11" i="5"/>
  <c r="C9" i="4" s="1"/>
  <c r="I86" i="8"/>
  <c r="J86" i="8" s="1"/>
  <c r="J87" i="8" s="1"/>
  <c r="I99" i="7" s="1"/>
  <c r="J99" i="7" s="1"/>
  <c r="I23" i="9"/>
  <c r="J23" i="9" s="1"/>
  <c r="J24" i="9" s="1"/>
  <c r="I22" i="9" s="1"/>
  <c r="M22" i="9" s="1"/>
  <c r="J111" i="6"/>
  <c r="I34" i="7"/>
  <c r="J34" i="7" s="1"/>
  <c r="I81" i="8"/>
  <c r="J81" i="8" s="1"/>
  <c r="J82" i="8" s="1"/>
  <c r="I91" i="7" s="1"/>
  <c r="J91" i="7" s="1"/>
  <c r="M17" i="9"/>
  <c r="J36" i="6"/>
  <c r="I33" i="9"/>
  <c r="J33" i="9" s="1"/>
  <c r="J34" i="9" s="1"/>
  <c r="I31" i="7"/>
  <c r="J31" i="7" s="1"/>
  <c r="I59" i="7"/>
  <c r="J59" i="7" s="1"/>
  <c r="I79" i="7"/>
  <c r="J79" i="7" s="1"/>
  <c r="I107" i="7"/>
  <c r="J107" i="7" s="1"/>
  <c r="L50" i="8"/>
  <c r="L7" i="9"/>
  <c r="I93" i="8"/>
  <c r="J93" i="8" s="1"/>
  <c r="I127" i="8"/>
  <c r="J127" i="8" s="1"/>
  <c r="I13" i="9"/>
  <c r="J13" i="9" s="1"/>
  <c r="J14" i="9" s="1"/>
  <c r="I12" i="9" s="1"/>
  <c r="M12" i="9" s="1"/>
  <c r="I29" i="7"/>
  <c r="J29" i="7" s="1"/>
  <c r="I43" i="7"/>
  <c r="J43" i="7" s="1"/>
  <c r="I119" i="7"/>
  <c r="J119" i="7" s="1"/>
  <c r="I66" i="7"/>
  <c r="J66" i="7" s="1"/>
  <c r="I119" i="8"/>
  <c r="J119" i="8" s="1"/>
  <c r="M7" i="7"/>
  <c r="I55" i="7"/>
  <c r="J55" i="7" s="1"/>
  <c r="I21" i="8"/>
  <c r="J21" i="8" s="1"/>
  <c r="I36" i="7"/>
  <c r="J36" i="7" s="1"/>
  <c r="I45" i="8"/>
  <c r="M45" i="8" s="1"/>
  <c r="I60" i="7"/>
  <c r="J60" i="7" s="1"/>
  <c r="I55" i="8"/>
  <c r="M55" i="8" s="1"/>
  <c r="I75" i="8"/>
  <c r="M75" i="8" s="1"/>
  <c r="B13" i="2"/>
  <c r="B14" i="3" s="1"/>
  <c r="I34" i="8"/>
  <c r="J34" i="8" s="1"/>
  <c r="C26" i="5"/>
  <c r="C17" i="4" s="1"/>
  <c r="P26" i="5"/>
  <c r="H17" i="4" s="1"/>
  <c r="I102" i="8"/>
  <c r="M102" i="8" s="1"/>
  <c r="I112" i="7"/>
  <c r="J112" i="7" s="1"/>
  <c r="J113" i="7" s="1"/>
  <c r="I124" i="7"/>
  <c r="J124" i="7" s="1"/>
  <c r="I107" i="8"/>
  <c r="M107" i="8" s="1"/>
  <c r="I80" i="8"/>
  <c r="M80" i="8" s="1"/>
  <c r="I32" i="9"/>
  <c r="M32" i="9" s="1"/>
  <c r="I41" i="8"/>
  <c r="J41" i="8" s="1"/>
  <c r="J42" i="8" s="1"/>
  <c r="I118" i="6"/>
  <c r="I48" i="7"/>
  <c r="J48" i="7" s="1"/>
  <c r="I50" i="8"/>
  <c r="I15" i="8"/>
  <c r="J15" i="8" s="1"/>
  <c r="I7" i="9"/>
  <c r="M7" i="9" s="1"/>
  <c r="H5" i="12"/>
  <c r="I5" i="11"/>
  <c r="H5" i="13"/>
  <c r="I5" i="9"/>
  <c r="H5" i="3"/>
  <c r="I5" i="7"/>
  <c r="I5" i="10"/>
  <c r="I5" i="8"/>
  <c r="M5" i="5"/>
  <c r="I5" i="4"/>
  <c r="I5" i="6"/>
  <c r="H5" i="2"/>
  <c r="I89" i="7"/>
  <c r="J89" i="7" s="1"/>
  <c r="I70" i="8"/>
  <c r="M70" i="8" s="1"/>
  <c r="I42" i="9"/>
  <c r="M42" i="9" s="1"/>
  <c r="I120" i="8"/>
  <c r="J120" i="8" s="1"/>
  <c r="I60" i="9"/>
  <c r="J60" i="9" s="1"/>
  <c r="J61" i="9" s="1"/>
  <c r="I7" i="10"/>
  <c r="M7" i="10" s="1"/>
  <c r="H8" i="4"/>
  <c r="B12" i="4"/>
  <c r="B17" i="4"/>
  <c r="B29" i="4"/>
  <c r="G11" i="5"/>
  <c r="G9" i="4" s="1"/>
  <c r="G26" i="5"/>
  <c r="G17" i="4" s="1"/>
  <c r="G52" i="5"/>
  <c r="G29" i="4" s="1"/>
  <c r="I84" i="7"/>
  <c r="J84" i="7" s="1"/>
  <c r="J85" i="7" s="1"/>
  <c r="I98" i="7"/>
  <c r="J98" i="7" s="1"/>
  <c r="I32" i="8"/>
  <c r="J32" i="8" s="1"/>
  <c r="I27" i="9"/>
  <c r="M27" i="9" s="1"/>
  <c r="C15" i="5"/>
  <c r="C12" i="4" s="1"/>
  <c r="C40" i="5"/>
  <c r="C20" i="4" s="1"/>
  <c r="C56" i="5"/>
  <c r="C32" i="4" s="1"/>
  <c r="I35" i="8"/>
  <c r="J35" i="8" s="1"/>
  <c r="B7" i="2"/>
  <c r="B8" i="3" s="1"/>
  <c r="B11" i="2"/>
  <c r="B12" i="3" s="1"/>
  <c r="G15" i="5"/>
  <c r="G12" i="4" s="1"/>
  <c r="G40" i="5"/>
  <c r="G20" i="4" s="1"/>
  <c r="G56" i="5"/>
  <c r="G32" i="4" s="1"/>
  <c r="C19" i="5"/>
  <c r="C15" i="4" s="1"/>
  <c r="C44" i="5"/>
  <c r="C23" i="4" s="1"/>
  <c r="C59" i="5"/>
  <c r="C33" i="4" s="1"/>
  <c r="I33" i="8"/>
  <c r="J33" i="8" s="1"/>
  <c r="I98" i="8"/>
  <c r="J98" i="8" s="1"/>
  <c r="B8" i="2"/>
  <c r="B9" i="3" s="1"/>
  <c r="B12" i="2"/>
  <c r="B13" i="3" s="1"/>
  <c r="G19" i="5"/>
  <c r="G15" i="4" s="1"/>
  <c r="G44" i="5"/>
  <c r="G23" i="4" s="1"/>
  <c r="G59" i="5"/>
  <c r="G33" i="4" s="1"/>
  <c r="B8" i="4"/>
  <c r="H11" i="11" s="1"/>
  <c r="H9" i="4"/>
  <c r="B14" i="4"/>
  <c r="B9" i="2" s="1"/>
  <c r="B10" i="3" s="1"/>
  <c r="B19" i="4"/>
  <c r="H26" i="4"/>
  <c r="B31" i="4"/>
  <c r="B14" i="2" s="1"/>
  <c r="B15" i="3" s="1"/>
  <c r="C8" i="5"/>
  <c r="C8" i="4" s="1"/>
  <c r="C23" i="5"/>
  <c r="C16" i="4" s="1"/>
  <c r="C48" i="5"/>
  <c r="C26" i="4" s="1"/>
  <c r="I25" i="6"/>
  <c r="J25" i="6" s="1"/>
  <c r="J26" i="6" s="1"/>
  <c r="I72" i="7"/>
  <c r="J72" i="7" s="1"/>
  <c r="J73" i="7" s="1"/>
  <c r="I132" i="8"/>
  <c r="J132" i="8" s="1"/>
  <c r="J133" i="8" s="1"/>
  <c r="G8" i="5"/>
  <c r="G8" i="4" s="1"/>
  <c r="G23" i="5"/>
  <c r="G16" i="4" s="1"/>
  <c r="I13" i="6"/>
  <c r="J13" i="6" s="1"/>
  <c r="J14" i="6" s="1"/>
  <c r="J49" i="7" l="1"/>
  <c r="J5" i="13"/>
  <c r="J121" i="8"/>
  <c r="J16" i="8"/>
  <c r="A63" i="6"/>
  <c r="P5" i="5"/>
  <c r="A48" i="6"/>
  <c r="A56" i="6"/>
  <c r="K5" i="9"/>
  <c r="J125" i="7"/>
  <c r="I116" i="7" s="1"/>
  <c r="M116" i="7" s="1"/>
  <c r="J121" i="6"/>
  <c r="J122" i="6" s="1"/>
  <c r="A93" i="6"/>
  <c r="K5" i="8"/>
  <c r="A15" i="6"/>
  <c r="N4" i="16"/>
  <c r="K5" i="12"/>
  <c r="K5" i="10"/>
  <c r="A75" i="6"/>
  <c r="K5" i="2"/>
  <c r="A40" i="6"/>
  <c r="A105" i="6"/>
  <c r="K5" i="6"/>
  <c r="A84" i="6"/>
  <c r="A121" i="6"/>
  <c r="A114" i="6"/>
  <c r="K5" i="7"/>
  <c r="N5" i="11"/>
  <c r="L5" i="4"/>
  <c r="A27" i="6"/>
  <c r="J99" i="8"/>
  <c r="I92" i="7"/>
  <c r="J92" i="7" s="1"/>
  <c r="I85" i="8"/>
  <c r="M85" i="8" s="1"/>
  <c r="G16" i="11"/>
  <c r="J37" i="7"/>
  <c r="I28" i="7" s="1"/>
  <c r="M28" i="7" s="1"/>
  <c r="I27" i="8"/>
  <c r="J27" i="8" s="1"/>
  <c r="J28" i="8" s="1"/>
  <c r="J61" i="7"/>
  <c r="M50" i="8"/>
  <c r="J36" i="8"/>
  <c r="G13" i="11"/>
  <c r="H13" i="11"/>
  <c r="I90" i="6"/>
  <c r="J90" i="6" s="1"/>
  <c r="H17" i="11"/>
  <c r="G11" i="11"/>
  <c r="I76" i="7"/>
  <c r="M76" i="7" s="1"/>
  <c r="I71" i="6"/>
  <c r="J71" i="6" s="1"/>
  <c r="I7" i="8"/>
  <c r="M7" i="8" s="1"/>
  <c r="I21" i="7"/>
  <c r="J21" i="7" s="1"/>
  <c r="I174" i="7"/>
  <c r="J174" i="7" s="1"/>
  <c r="I168" i="7"/>
  <c r="J168" i="7" s="1"/>
  <c r="I132" i="7"/>
  <c r="J132" i="7" s="1"/>
  <c r="I162" i="7"/>
  <c r="J162" i="7" s="1"/>
  <c r="I124" i="8"/>
  <c r="M124" i="8" s="1"/>
  <c r="I152" i="7"/>
  <c r="J152" i="7" s="1"/>
  <c r="I142" i="7"/>
  <c r="J142" i="7" s="1"/>
  <c r="I53" i="6"/>
  <c r="J53" i="6" s="1"/>
  <c r="I64" i="7"/>
  <c r="M64" i="7" s="1"/>
  <c r="I91" i="6"/>
  <c r="J91" i="6" s="1"/>
  <c r="J92" i="6" s="1"/>
  <c r="I61" i="6"/>
  <c r="J61" i="6" s="1"/>
  <c r="J62" i="6" s="1"/>
  <c r="I46" i="6"/>
  <c r="J46" i="6" s="1"/>
  <c r="I54" i="6"/>
  <c r="J54" i="6" s="1"/>
  <c r="I40" i="7"/>
  <c r="M40" i="7" s="1"/>
  <c r="I34" i="6"/>
  <c r="J34" i="6" s="1"/>
  <c r="I82" i="6"/>
  <c r="J82" i="6" s="1"/>
  <c r="I70" i="6"/>
  <c r="J70" i="6" s="1"/>
  <c r="I112" i="6"/>
  <c r="J112" i="6" s="1"/>
  <c r="J113" i="6" s="1"/>
  <c r="I7" i="6"/>
  <c r="M7" i="6" s="1"/>
  <c r="J15" i="6"/>
  <c r="J16" i="6" s="1"/>
  <c r="I8" i="4" s="1"/>
  <c r="I12" i="11" s="1"/>
  <c r="I52" i="9"/>
  <c r="M52" i="9" s="1"/>
  <c r="I139" i="8"/>
  <c r="J139" i="8" s="1"/>
  <c r="J140" i="8" s="1"/>
  <c r="J27" i="6"/>
  <c r="I19" i="6"/>
  <c r="M19" i="6" s="1"/>
  <c r="J28" i="6"/>
  <c r="I161" i="7"/>
  <c r="J161" i="7" s="1"/>
  <c r="I112" i="8"/>
  <c r="M112" i="8" s="1"/>
  <c r="I151" i="7"/>
  <c r="J151" i="7" s="1"/>
  <c r="I173" i="7"/>
  <c r="J173" i="7" s="1"/>
  <c r="I141" i="7"/>
  <c r="J141" i="7" s="1"/>
  <c r="I131" i="7"/>
  <c r="J131" i="7" s="1"/>
  <c r="I167" i="7"/>
  <c r="J167" i="7" s="1"/>
  <c r="J169" i="7" s="1"/>
  <c r="I104" i="7"/>
  <c r="M104" i="7" s="1"/>
  <c r="I81" i="6"/>
  <c r="J81" i="6" s="1"/>
  <c r="I24" i="7"/>
  <c r="J24" i="7" s="1"/>
  <c r="I39" i="8"/>
  <c r="M39" i="8" s="1"/>
  <c r="C10" i="11"/>
  <c r="G8" i="11"/>
  <c r="C16" i="11"/>
  <c r="I100" i="7"/>
  <c r="J100" i="7" s="1"/>
  <c r="J101" i="7" s="1"/>
  <c r="I93" i="7"/>
  <c r="J93" i="7" s="1"/>
  <c r="J94" i="7" s="1"/>
  <c r="I90" i="8"/>
  <c r="M90" i="8" s="1"/>
  <c r="H7" i="11"/>
  <c r="H6" i="16" s="1"/>
  <c r="G15" i="11"/>
  <c r="C11" i="11"/>
  <c r="H8" i="11"/>
  <c r="H7" i="16" s="1"/>
  <c r="H14" i="11"/>
  <c r="G17" i="11"/>
  <c r="C7" i="11"/>
  <c r="B10" i="2"/>
  <c r="B11" i="3" s="1"/>
  <c r="C18" i="11"/>
  <c r="C17" i="11"/>
  <c r="C12" i="11"/>
  <c r="G18" i="11"/>
  <c r="I23" i="7"/>
  <c r="J23" i="7" s="1"/>
  <c r="I31" i="8"/>
  <c r="M31" i="8" s="1"/>
  <c r="C14" i="11"/>
  <c r="H10" i="11"/>
  <c r="I22" i="7"/>
  <c r="J22" i="7" s="1"/>
  <c r="I19" i="8"/>
  <c r="M19" i="8" s="1"/>
  <c r="H15" i="11"/>
  <c r="G14" i="11"/>
  <c r="H12" i="11"/>
  <c r="C15" i="11"/>
  <c r="H16" i="11"/>
  <c r="C13" i="11"/>
  <c r="C8" i="11"/>
  <c r="G12" i="11"/>
  <c r="G7" i="11"/>
  <c r="I33" i="4"/>
  <c r="K33" i="4" s="1"/>
  <c r="K17" i="11" s="1"/>
  <c r="G9" i="11"/>
  <c r="H18" i="11"/>
  <c r="H9" i="11"/>
  <c r="H8" i="16" s="1"/>
  <c r="C9" i="11"/>
  <c r="G10" i="11"/>
  <c r="J83" i="6" l="1"/>
  <c r="J163" i="7"/>
  <c r="I156" i="7" s="1"/>
  <c r="M156" i="7" s="1"/>
  <c r="I9" i="4"/>
  <c r="K9" i="4" s="1"/>
  <c r="K14" i="11" s="1"/>
  <c r="I33" i="6"/>
  <c r="J33" i="6" s="1"/>
  <c r="I45" i="6"/>
  <c r="J45" i="6" s="1"/>
  <c r="J47" i="6" s="1"/>
  <c r="I44" i="6" s="1"/>
  <c r="M44" i="6" s="1"/>
  <c r="I52" i="7"/>
  <c r="M52" i="7" s="1"/>
  <c r="J153" i="7"/>
  <c r="I146" i="7" s="1"/>
  <c r="M146" i="7" s="1"/>
  <c r="I88" i="7"/>
  <c r="M88" i="7" s="1"/>
  <c r="I72" i="6"/>
  <c r="J72" i="6" s="1"/>
  <c r="I88" i="6"/>
  <c r="J93" i="6"/>
  <c r="J94" i="6" s="1"/>
  <c r="I26" i="4" s="1"/>
  <c r="I97" i="7"/>
  <c r="M97" i="7" s="1"/>
  <c r="I73" i="6"/>
  <c r="J73" i="6" s="1"/>
  <c r="I166" i="7"/>
  <c r="M166" i="7" s="1"/>
  <c r="I102" i="6"/>
  <c r="J102" i="6" s="1"/>
  <c r="J114" i="6"/>
  <c r="J115" i="6" s="1"/>
  <c r="I32" i="4" s="1"/>
  <c r="I109" i="6"/>
  <c r="J63" i="6"/>
  <c r="J64" i="6" s="1"/>
  <c r="I17" i="4" s="1"/>
  <c r="I60" i="6"/>
  <c r="K8" i="4"/>
  <c r="J133" i="7"/>
  <c r="I17" i="11"/>
  <c r="J143" i="7"/>
  <c r="I175" i="7"/>
  <c r="J175" i="7" s="1"/>
  <c r="J176" i="7" s="1"/>
  <c r="I136" i="8"/>
  <c r="M136" i="8" s="1"/>
  <c r="J55" i="6"/>
  <c r="J25" i="7"/>
  <c r="I100" i="6"/>
  <c r="J100" i="6" s="1"/>
  <c r="J84" i="6"/>
  <c r="J85" i="6" s="1"/>
  <c r="I23" i="4" s="1"/>
  <c r="I79" i="6"/>
  <c r="M79" i="6" s="1"/>
  <c r="I101" i="6"/>
  <c r="J101" i="6" s="1"/>
  <c r="I14" i="11" l="1"/>
  <c r="J48" i="6"/>
  <c r="J49" i="6" s="1"/>
  <c r="I15" i="4" s="1"/>
  <c r="K15" i="4" s="1"/>
  <c r="J74" i="6"/>
  <c r="I67" i="6" s="1"/>
  <c r="M67" i="6" s="1"/>
  <c r="K26" i="4"/>
  <c r="I9" i="11"/>
  <c r="I172" i="7"/>
  <c r="M172" i="7" s="1"/>
  <c r="I103" i="6"/>
  <c r="J103" i="6" s="1"/>
  <c r="K23" i="4"/>
  <c r="I8" i="11"/>
  <c r="K17" i="4"/>
  <c r="K10" i="11" s="1"/>
  <c r="I10" i="11"/>
  <c r="K32" i="4"/>
  <c r="I11" i="11"/>
  <c r="I136" i="7"/>
  <c r="M136" i="7" s="1"/>
  <c r="I99" i="6"/>
  <c r="J99" i="6" s="1"/>
  <c r="I98" i="6"/>
  <c r="J98" i="6" s="1"/>
  <c r="I128" i="7"/>
  <c r="M128" i="7" s="1"/>
  <c r="I32" i="6"/>
  <c r="J32" i="6" s="1"/>
  <c r="J39" i="6" s="1"/>
  <c r="I17" i="7"/>
  <c r="M17" i="7" s="1"/>
  <c r="K7" i="4"/>
  <c r="K12" i="11"/>
  <c r="J56" i="6"/>
  <c r="J57" i="6" s="1"/>
  <c r="I16" i="4" s="1"/>
  <c r="I52" i="6"/>
  <c r="M52" i="6" s="1"/>
  <c r="I18" i="11" l="1"/>
  <c r="J75" i="6"/>
  <c r="J76" i="6" s="1"/>
  <c r="I20" i="4" s="1"/>
  <c r="K20" i="4" s="1"/>
  <c r="J104" i="6"/>
  <c r="K16" i="4"/>
  <c r="K13" i="11" s="1"/>
  <c r="I13" i="11"/>
  <c r="K22" i="4"/>
  <c r="J11" i="2" s="1"/>
  <c r="K8" i="11"/>
  <c r="K31" i="4"/>
  <c r="J14" i="2" s="1"/>
  <c r="K11" i="11"/>
  <c r="J7" i="2"/>
  <c r="J40" i="6"/>
  <c r="J41" i="6" s="1"/>
  <c r="I12" i="4" s="1"/>
  <c r="I31" i="6"/>
  <c r="K25" i="4"/>
  <c r="J12" i="2" s="1"/>
  <c r="K9" i="11"/>
  <c r="J105" i="6"/>
  <c r="J106" i="6" s="1"/>
  <c r="I29" i="4" s="1"/>
  <c r="I97" i="6"/>
  <c r="M97" i="6" s="1"/>
  <c r="K14" i="4"/>
  <c r="J9" i="2" s="1"/>
  <c r="K18" i="11"/>
  <c r="I7" i="11" l="1"/>
  <c r="K29" i="4"/>
  <c r="I15" i="11"/>
  <c r="K12" i="4"/>
  <c r="I16" i="11"/>
  <c r="K19" i="4"/>
  <c r="J10" i="2" s="1"/>
  <c r="K7" i="11"/>
  <c r="K11" i="4" l="1"/>
  <c r="K16" i="11"/>
  <c r="M15" i="3"/>
  <c r="I15" i="3"/>
  <c r="I12" i="3"/>
  <c r="M13" i="3"/>
  <c r="K28" i="4"/>
  <c r="J13" i="2" s="1"/>
  <c r="K15" i="11"/>
  <c r="M8" i="3" l="1"/>
  <c r="M12" i="3"/>
  <c r="K20" i="11"/>
  <c r="M16" i="11" s="1"/>
  <c r="M10" i="3"/>
  <c r="J8" i="2"/>
  <c r="K35" i="4"/>
  <c r="K14" i="3" l="1"/>
  <c r="M17" i="11"/>
  <c r="M14" i="11"/>
  <c r="M12" i="11"/>
  <c r="M10" i="11"/>
  <c r="M13" i="11"/>
  <c r="M9" i="11"/>
  <c r="M11" i="11"/>
  <c r="M8" i="11"/>
  <c r="M18" i="11"/>
  <c r="M7" i="11"/>
  <c r="M11" i="3"/>
  <c r="J15" i="2"/>
  <c r="K8" i="2" s="1"/>
  <c r="M15" i="11"/>
  <c r="M20" i="11" l="1"/>
  <c r="J7" i="1"/>
  <c r="L7" i="1" s="1"/>
  <c r="K11" i="2"/>
  <c r="K12" i="2"/>
  <c r="K14" i="2"/>
  <c r="K9" i="2"/>
  <c r="K7" i="2"/>
  <c r="K10" i="2"/>
  <c r="K13" i="2"/>
  <c r="I16" i="3"/>
  <c r="G16" i="3"/>
  <c r="O11" i="3" s="1"/>
  <c r="M14" i="3"/>
  <c r="K15" i="2" l="1"/>
  <c r="O14" i="3"/>
  <c r="H10" i="3"/>
  <c r="H12" i="3"/>
  <c r="H8" i="3"/>
  <c r="H13" i="3"/>
  <c r="H15" i="3"/>
  <c r="O13" i="3"/>
  <c r="O15" i="3"/>
  <c r="H11" i="3"/>
  <c r="H14" i="3"/>
  <c r="O10" i="3"/>
  <c r="O8" i="3"/>
  <c r="O12" i="3"/>
  <c r="M9" i="3"/>
  <c r="K16" i="3"/>
  <c r="H9" i="3"/>
  <c r="J16" i="3"/>
  <c r="I17" i="3"/>
  <c r="J17" i="3" s="1"/>
  <c r="H16" i="3" l="1"/>
  <c r="O9" i="3"/>
  <c r="M16" i="3"/>
  <c r="L16" i="3"/>
  <c r="N16" i="3" s="1"/>
  <c r="K17" i="3"/>
  <c r="L17" i="3" s="1"/>
  <c r="O16" i="3"/>
</calcChain>
</file>

<file path=xl/sharedStrings.xml><?xml version="1.0" encoding="utf-8"?>
<sst xmlns="http://schemas.openxmlformats.org/spreadsheetml/2006/main" count="1367" uniqueCount="428">
  <si>
    <t>MUNICÍPIO DE SAO RAIMUNDO NONATO - PI</t>
  </si>
  <si>
    <t>ESPAÇO DA CIDADANIA</t>
  </si>
  <si>
    <t>DADOS DA OBRA</t>
  </si>
  <si>
    <t>DATA BASE:</t>
  </si>
  <si>
    <t xml:space="preserve">SINAPI PI-12/2021, SEINFRA 27, ORSE-11/2021, </t>
  </si>
  <si>
    <t>SEM DESONERAÇÃO</t>
  </si>
  <si>
    <t>LEIS SOCIAIS (%):</t>
  </si>
  <si>
    <t>BDI (%):</t>
  </si>
  <si>
    <t>DESCRIÇÃO</t>
  </si>
  <si>
    <t>RECURSO (R$)</t>
  </si>
  <si>
    <t>TOTAL (R$)</t>
  </si>
  <si>
    <t>(Diferença)</t>
  </si>
  <si>
    <t/>
  </si>
  <si>
    <t>ENDEREÇO</t>
  </si>
  <si>
    <t>SÃO RAIMUNDO NONATO</t>
  </si>
  <si>
    <t>OBSERVAÇÕES IMPORTANTES</t>
  </si>
  <si>
    <t>OBS-1: Conforme metodologia de cálculo da Caixa Econômica Federal, foi utilizado arredondamento normal para duas casa decimais em todos os cálculos, exceto para o cálculo do valor total de cada item das composições de custos, no qual foi utilizado arredondamento truncado até a segunda casa decimal. Visto que a metodologia de cálculo das tabelas SEINFRA e ORSE utilizam arredondamentos diferentes, suas composições foram compatibilizadas com o mesmo arredondamento utilizado pela tabela SINAPI, assim, é expressamente recomendável que os preços calculados sejam revisados na planilha de composições, quando esta for gerada.</t>
  </si>
  <si>
    <t>OBS-2: As composições com mão-de-obra e insumos separados apresentam uma precisão de cálculo maior que as composições normais, podendo apresentar o resultado do valor total do serviço divergente da tabela de origem, sendo aconselhável a revisão da planilha de composições quando selecionada a opção de mão-de-obra e insumos separados e da curva ABC de Insumos.</t>
  </si>
  <si>
    <t>OBS-3: Todas as composições de preços da tabela ORSE foram compatibilizadas nos seguintes quesitos:
1 - O ORSE divulga dois formatos de composições para cada serviço, sendo uma analítica e uma no formtato de lista de materiais, calculando a partir desta última o preço final de cada serviço. Visto que a tabela SINAPI, da Caixa Econômica Federal divulga as composições de serviços na forma analítica, apenas, optou-se pela utilização das composições da tabela ORSE também na forma analítica, mesmo que o cálculo do custo dos serviços sejam diferentes das tabelas publicadas;
2 - O ORSE divulga apenas os preços para o estado de Sergipe e SEM DESONERAÇÃO da folha, assim, todas as composições foram compatibilizadas nos preços de serviços e insumos com origem na tabela SINAPI, conforme a opção do estado e desoneração da folha, selecionados pelo usuários nos dados da Obra;
Ressaltamos que os preços das tabelas, de serviços e insumos, publicadas pelo ORSE não serão alterados, sendo alterados apenas os preços de serviços e insumos dentro de suas composições, dos itens com origem na tabela SINAPI, permanecendo inalterados os itens, de insumo ou composição, com origem na tabela ORSE. Esta metodologia foi adotada ao entender que os custos, numa mesma planilha orçamentária, não devem apresentar divergências numa mesma classe de serviços ou insumos. Assim, para o bom entendimento do profissional orçamentista, é expressamente recomendável que os preços calculados sejam revisados na planilha de composições, quando esta for gerada.</t>
  </si>
  <si>
    <t>PLANILHA RESUMO</t>
  </si>
  <si>
    <t>ITEM</t>
  </si>
  <si>
    <t>TOTAL (%)</t>
  </si>
  <si>
    <t>TOTAL</t>
  </si>
  <si>
    <t>CRONOGRAMA FÍSICO-FINANCEIRO</t>
  </si>
  <si>
    <t>30 DIAS</t>
  </si>
  <si>
    <t>60 DIAS</t>
  </si>
  <si>
    <t>META</t>
  </si>
  <si>
    <t>GERAL</t>
  </si>
  <si>
    <t>TOTAL GERAL</t>
  </si>
  <si>
    <t>TOTAL ACUMULADO</t>
  </si>
  <si>
    <t>PLANILHA ORÇAMENTÁRIA</t>
  </si>
  <si>
    <t>CÓDIGO</t>
  </si>
  <si>
    <t>UNID</t>
  </si>
  <si>
    <t>QUANT</t>
  </si>
  <si>
    <t>P. UNIT. C/BDI</t>
  </si>
  <si>
    <t>1.1</t>
  </si>
  <si>
    <t>1.2</t>
  </si>
  <si>
    <t>2.1</t>
  </si>
  <si>
    <t>3.1</t>
  </si>
  <si>
    <t>3.2</t>
  </si>
  <si>
    <t>3.3</t>
  </si>
  <si>
    <t>4.1</t>
  </si>
  <si>
    <t>5.1</t>
  </si>
  <si>
    <t>6.1</t>
  </si>
  <si>
    <t>7.1</t>
  </si>
  <si>
    <t>8.1</t>
  </si>
  <si>
    <t>8.2</t>
  </si>
  <si>
    <t>MEMÓRIA DE CÁLCULO</t>
  </si>
  <si>
    <t>COEF</t>
  </si>
  <si>
    <t>COMP (m)</t>
  </si>
  <si>
    <t>LARG (m)</t>
  </si>
  <si>
    <t>ALT (m)</t>
  </si>
  <si>
    <t>ÁREA (m2)</t>
  </si>
  <si>
    <t>VOL (m3)</t>
  </si>
  <si>
    <t>PARCIAL</t>
  </si>
  <si>
    <t>ADMINISTRAÇÃO LOCAL DE OBRA</t>
  </si>
  <si>
    <t>1.1.1</t>
  </si>
  <si>
    <t>1.2.1</t>
  </si>
  <si>
    <t>SERVIÇOS PRELIMINARES</t>
  </si>
  <si>
    <t>PLACA.1</t>
  </si>
  <si>
    <t>2.1.1</t>
  </si>
  <si>
    <t>RETIRADAS</t>
  </si>
  <si>
    <t>3.1.1</t>
  </si>
  <si>
    <t>Mictórios</t>
  </si>
  <si>
    <t>3.1.2</t>
  </si>
  <si>
    <t>Sanitário BWC Feminino</t>
  </si>
  <si>
    <t>3.2.1</t>
  </si>
  <si>
    <t>Área Total ( remover apenas as danificadas)</t>
  </si>
  <si>
    <t>Comp.-01</t>
  </si>
  <si>
    <t>3.3.1</t>
  </si>
  <si>
    <t>Perímetro interno x pé direito</t>
  </si>
  <si>
    <t>3.3.2</t>
  </si>
  <si>
    <t>Perímetro externo x pé direito</t>
  </si>
  <si>
    <t>3.3.3</t>
  </si>
  <si>
    <t>Descontar Janela(2,90 x 0,40)</t>
  </si>
  <si>
    <t>3.3.4</t>
  </si>
  <si>
    <t>Descontar Janela(6,45 x 0,60) face interna e externa</t>
  </si>
  <si>
    <t>3.3.5</t>
  </si>
  <si>
    <t>Descontar Janela (5,35 x 0,60) face interna e externa</t>
  </si>
  <si>
    <t>3.3.6</t>
  </si>
  <si>
    <t>Descontar Janela (4,65 x 0,60) face interna e externa</t>
  </si>
  <si>
    <t>3.3.7</t>
  </si>
  <si>
    <t>Descontar Janela (2,00 x 0,40)</t>
  </si>
  <si>
    <t>3.3.8</t>
  </si>
  <si>
    <t>Descontar Janela (0,95 x 0,40) face interna e externa</t>
  </si>
  <si>
    <t>3.3.9</t>
  </si>
  <si>
    <t>Descontar Porta (0,80 x 2,10)</t>
  </si>
  <si>
    <t>3.3.10</t>
  </si>
  <si>
    <t>Descontar Porta (0,90 x 2,10)</t>
  </si>
  <si>
    <t>3.3.11</t>
  </si>
  <si>
    <t>Porta Entrada (4,40 x 2,70) face interna e externa</t>
  </si>
  <si>
    <t>COBERTURA</t>
  </si>
  <si>
    <t>4.1.1</t>
  </si>
  <si>
    <t>Substituir até 30% das telhas danificadas</t>
  </si>
  <si>
    <t>PINTURA</t>
  </si>
  <si>
    <t>5.1.1</t>
  </si>
  <si>
    <t>Item 3.3</t>
  </si>
  <si>
    <t>INSTALAÇÕES ELÉTRICAS</t>
  </si>
  <si>
    <t>73953/04</t>
  </si>
  <si>
    <t>6.1.1</t>
  </si>
  <si>
    <t>Substituir lâmpadas danificadas</t>
  </si>
  <si>
    <t>INSTALAÇÕES HIDROSANITÁRIAS</t>
  </si>
  <si>
    <t>7.1.1</t>
  </si>
  <si>
    <t>03 mictórios e 01 sanitário</t>
  </si>
  <si>
    <t>SERVIÇOS FINAIS</t>
  </si>
  <si>
    <t>Comp7</t>
  </si>
  <si>
    <t>8.1.1</t>
  </si>
  <si>
    <t>Comp8</t>
  </si>
  <si>
    <t>8.2.1</t>
  </si>
  <si>
    <t>PLANILHA DE COMPOSIÇÕES ANALÍTICAS</t>
  </si>
  <si>
    <t>CLASSE/TIPO</t>
  </si>
  <si>
    <t>COEFICIENTE</t>
  </si>
  <si>
    <t>PREÇO UNIT</t>
  </si>
  <si>
    <t>SEDI</t>
  </si>
  <si>
    <t>INSUMO</t>
  </si>
  <si>
    <t>COMPOSICAO</t>
  </si>
  <si>
    <t>CUSTO DIRETO TOTAL</t>
  </si>
  <si>
    <t>TOTAL - 90777</t>
  </si>
  <si>
    <t>TOTAL - 90780</t>
  </si>
  <si>
    <t>placa.1</t>
  </si>
  <si>
    <t xml:space="preserve">PLACA DE OBRA EM CHAPA DE AÇO GALVANIZADO </t>
  </si>
  <si>
    <t>M²</t>
  </si>
  <si>
    <t>Composição do usuário.</t>
  </si>
  <si>
    <t>TOTAL - placa.1</t>
  </si>
  <si>
    <t>SERP</t>
  </si>
  <si>
    <t>TOTAL - 97663</t>
  </si>
  <si>
    <t>TOTAL - 97640</t>
  </si>
  <si>
    <t>PARE</t>
  </si>
  <si>
    <t>COMP.-01</t>
  </si>
  <si>
    <t>REMOÇÃO DE PINTURA LÁTEX (RASPAGEM E/OU LIXAMENTO E/OU ESCOVAÇÃO (REF. SEINFRA C4913)</t>
  </si>
  <si>
    <t>TOTAL - COMP.-01</t>
  </si>
  <si>
    <t>COBE</t>
  </si>
  <si>
    <t>TOTAL - 94213</t>
  </si>
  <si>
    <t>PINT</t>
  </si>
  <si>
    <t>TOTAL - 88489</t>
  </si>
  <si>
    <t>INEL</t>
  </si>
  <si>
    <t>LUMINÁRIAS TIPO CALHA, DE SOBREPOR, COM REATORES DE PARTIDA RÁPIDA E LÂMPADAS FLUORESCENTES 2X2X18W, COMPLETAS, FORNECIMENTO E INSTALAÇÃO</t>
  </si>
  <si>
    <t>UN</t>
  </si>
  <si>
    <t>TOTAL - 73953/04</t>
  </si>
  <si>
    <t>INHI</t>
  </si>
  <si>
    <t>TOTAL - 89957</t>
  </si>
  <si>
    <t>LIMPEZA GERAL (REF. ORESE 02450)</t>
  </si>
  <si>
    <t>M2</t>
  </si>
  <si>
    <t>01997/ORSE</t>
  </si>
  <si>
    <t>02414/ORSE</t>
  </si>
  <si>
    <t>TOTAL - Comp7</t>
  </si>
  <si>
    <t>RETIRADA DE ENTULHO DA OBRA UTILIZANDO CAIXA COLETORA CAPACIDADE 5 M3 (REF. 10033/ORSE)</t>
  </si>
  <si>
    <t>M3</t>
  </si>
  <si>
    <t>07962/ORSE</t>
  </si>
  <si>
    <t>TOTAL - Comp8</t>
  </si>
  <si>
    <t>PLANILHA DE COMPOSIÇÕES ANALÍTICAS AUXILIARES - NÍVEL 1</t>
  </si>
  <si>
    <t>TOTAL - 95402</t>
  </si>
  <si>
    <t>TOTAL - 95405</t>
  </si>
  <si>
    <t>FUES</t>
  </si>
  <si>
    <t>TOTAL - 94962</t>
  </si>
  <si>
    <t>TOTAL - 88262</t>
  </si>
  <si>
    <t>TOTAL - 88316</t>
  </si>
  <si>
    <t>TOTAL - 88267</t>
  </si>
  <si>
    <t>TOTAL - 88278</t>
  </si>
  <si>
    <t>TOTAL - 88323</t>
  </si>
  <si>
    <t>CHOR</t>
  </si>
  <si>
    <t>TOTAL - 93281</t>
  </si>
  <si>
    <t>TOTAL - 93282</t>
  </si>
  <si>
    <t>TOTAL - 88310</t>
  </si>
  <si>
    <t>TOTAL - 88264</t>
  </si>
  <si>
    <t>TOTAL - 89356</t>
  </si>
  <si>
    <t>TOTAL - 89362</t>
  </si>
  <si>
    <t>TOTAL - 89366</t>
  </si>
  <si>
    <t>TOTAL - 89395</t>
  </si>
  <si>
    <t>TOTAL - 90443</t>
  </si>
  <si>
    <t>TOTAL - 90466</t>
  </si>
  <si>
    <t>PLANILHA DE COMPOSIÇÕES ANALÍTICAS AUXILIARES - NÍVEL 2</t>
  </si>
  <si>
    <t>TOTAL - 88377</t>
  </si>
  <si>
    <t>TOTAL - 88830</t>
  </si>
  <si>
    <t>TOTAL - 88831</t>
  </si>
  <si>
    <t>TOTAL - 95330</t>
  </si>
  <si>
    <t>TOTAL - 95378</t>
  </si>
  <si>
    <t>TOTAL - 95335</t>
  </si>
  <si>
    <t>TOTAL - 95344</t>
  </si>
  <si>
    <t>TOTAL - 95385</t>
  </si>
  <si>
    <t>TOTAL - 93280</t>
  </si>
  <si>
    <t>TOTAL - 93279</t>
  </si>
  <si>
    <t>TOTAL - 93278</t>
  </si>
  <si>
    <t>TOTAL - 93277</t>
  </si>
  <si>
    <t>TOTAL - 88295</t>
  </si>
  <si>
    <t>TOTAL - 95372</t>
  </si>
  <si>
    <t>TOTAL - 95332</t>
  </si>
  <si>
    <t>TOTAL - 88248</t>
  </si>
  <si>
    <t>TOTAL - 88629</t>
  </si>
  <si>
    <t>PLANILHA DE COMPOSIÇÕES ANALÍTICAS AUXILIARES - NÍVEL 3</t>
  </si>
  <si>
    <t>TOTAL - 95389</t>
  </si>
  <si>
    <t>TOTAL - 88829</t>
  </si>
  <si>
    <t>TOTAL - 88828</t>
  </si>
  <si>
    <t>TOTAL - 88827</t>
  </si>
  <si>
    <t>TOTAL - 88826</t>
  </si>
  <si>
    <t>TOTAL - 95358</t>
  </si>
  <si>
    <t>TOTAL - 95317</t>
  </si>
  <si>
    <t>PLANILHA DE COMPOSIÇÕES ANALÍTICAS AUXILIARES - NÍVEL 4</t>
  </si>
  <si>
    <t>CURVA ABC DE SERVIÇOS</t>
  </si>
  <si>
    <t>TOTAIS</t>
  </si>
  <si>
    <t>COMPOSIÇÃO DA TAXA DE BDI</t>
  </si>
  <si>
    <t>Limites p/Edificações</t>
  </si>
  <si>
    <t>AC</t>
  </si>
  <si>
    <t>ADMINISTRAÇÃO CENTRAL</t>
  </si>
  <si>
    <t>3,0 a 5,5%</t>
  </si>
  <si>
    <t>SG</t>
  </si>
  <si>
    <t>SEGURO E GARANTIA</t>
  </si>
  <si>
    <t>0,8 a 1,0%</t>
  </si>
  <si>
    <t>R</t>
  </si>
  <si>
    <t>RISCOS</t>
  </si>
  <si>
    <t>0,97 a 1,27%</t>
  </si>
  <si>
    <t>DF</t>
  </si>
  <si>
    <t>DESPESA FINANCEIRA</t>
  </si>
  <si>
    <t>0,59 a 1,39%</t>
  </si>
  <si>
    <t>L</t>
  </si>
  <si>
    <t>LUCRO</t>
  </si>
  <si>
    <t>6,16 a 8,96%</t>
  </si>
  <si>
    <t>I</t>
  </si>
  <si>
    <t>TRIBUTOS E IMPOSTOS</t>
  </si>
  <si>
    <t>-</t>
  </si>
  <si>
    <t>PIS</t>
  </si>
  <si>
    <t>PROGRAMA DE INTEGRAÇÃO SOCIAL</t>
  </si>
  <si>
    <t>COFINS</t>
  </si>
  <si>
    <t>CONSTRIBUIÇÃO SOCIAL PARA FINANCIAMENTO DA SEGURIDADE SOCIAL</t>
  </si>
  <si>
    <t>ISS</t>
  </si>
  <si>
    <t>2,0 a 5,0%</t>
  </si>
  <si>
    <t>% ISS do município (sugerido):</t>
  </si>
  <si>
    <t>CPRB</t>
  </si>
  <si>
    <t>CONTRIBUIÇÃO PREVIDENCIÁRIA SOBRE A RECEITA BRUTA</t>
  </si>
  <si>
    <t>% de mão de obra (sugerido):</t>
  </si>
  <si>
    <t>BDI</t>
  </si>
  <si>
    <t>TAXA DE BENEFÍCIOS E DESPESAS INDIRETAS</t>
  </si>
  <si>
    <t>20,34 a 25,0% (sem CPRB)</t>
  </si>
  <si>
    <t>BDI   =   {   [   (   1   +   AC   +   SG   +   R   )   x   (   1   +   DF   )   x   (   1   +   L   )   ]   /   [   1   -   (   PIS   +   COFINS   +   ISS   +   CPRB   )   ]   }   -   1</t>
  </si>
  <si>
    <t>Cálculo em conformidade com o acórdão nº 2622/2013-TCU e Lei nº 13.161 de 31 de agosto de 2015.</t>
  </si>
  <si>
    <t>OBSERVAÇÕES</t>
  </si>
  <si>
    <t>a) Os percentuais de Impostos a serem adotados devem ser indicados pelo Tomador, conforme legislação vigente. Deverão ser definidos pelo Tomador, conforme Código Tributário do município, o valor do ISS, que será um percentual entre 2% e 5%, e a alíquota aplicada sobre o mesmo, representando o percentual de mão de obra em relação ao valor total da obra.</t>
  </si>
  <si>
    <t>b) Para análise de orçamentos considerando a desoneração sobre a folha de pagamento, prevista na lei nº 12.844/2013, deverá ser adotada uma alíquota de 4,5% sobre a contribuição previenciária sobre a receita bruta. Quando a opção orçamentária não considerar a desoneração da folha de pagamento, deverá ser adotada uma alíquota de 0% no referido item.</t>
  </si>
  <si>
    <t>c) Para o tipo de obra “Construção de Edifícios”, enquadram-se:  a construção de edifícios residenciais de qualquer tipo; casas e residências unifamiliares; edifícios residenciais multifamiliares, incluindo edifícios de grande altura (arranha-céus); a construção de edifícios comerciais de qualquer tipo; consultórios e clínicas médicas; escolas; escritórios comerciais; hospitais; hotéis, motéis e outros tipos de alojamento; lojas, galerias e centros comerciais; restaurantes e outros estabelecimentos similares; shopping centers; a construção de edifícios destinados a outros usos específicos; armazéns e depósitos; edifícios garagem, inclusive garagens subterrâneas; edifícios para uso agropecuário; estações para trens e metropolitanos; estádios esportivos e quadras cobertas; igrejas e outras construções para fins religiosos (templos); instalações para embarque e desembarque de passageiros (em aeroportos, rodoviárias, portos, etc.); penitenciárias e presídios; postos de combustível; a construção de edifícios industriais (fábricas, oficinas, galpões industriais, etc.); as reformas, manutenções correntes, complementações e alterações de edifícios de qualquer natureza já existentes; a montagem de edifícios e casas pré-moldadas ou pré-fabricadas de qualquer material, de natureza permanente ou temporária, quando não realizadas pelo próprio fabricante, conforme classificação 4120-4/00 do CNAE.</t>
  </si>
  <si>
    <t>PLANILHA DE ENCARGOS SOCIAIS</t>
  </si>
  <si>
    <t>COM DESONERAÇÃO</t>
  </si>
  <si>
    <t>HORISTA</t>
  </si>
  <si>
    <t>MENSALISTA</t>
  </si>
  <si>
    <t>GRUPO A</t>
  </si>
  <si>
    <t>A1</t>
  </si>
  <si>
    <t>INSS</t>
  </si>
  <si>
    <t>A2</t>
  </si>
  <si>
    <t>SESI</t>
  </si>
  <si>
    <t>A3</t>
  </si>
  <si>
    <t>SENAI</t>
  </si>
  <si>
    <t>A4</t>
  </si>
  <si>
    <t>INCRA</t>
  </si>
  <si>
    <t>A5</t>
  </si>
  <si>
    <t>SEBRAE</t>
  </si>
  <si>
    <t>A6</t>
  </si>
  <si>
    <t>SALÁRIO EDUCAÇÃO</t>
  </si>
  <si>
    <t>A7</t>
  </si>
  <si>
    <t>SEGURO CONTRA ACIDENTES DE TRABALHO</t>
  </si>
  <si>
    <t>A8</t>
  </si>
  <si>
    <t>FGTS</t>
  </si>
  <si>
    <t>A9</t>
  </si>
  <si>
    <t>SECONCI</t>
  </si>
  <si>
    <t>A</t>
  </si>
  <si>
    <t>GRUPO B</t>
  </si>
  <si>
    <t>B1</t>
  </si>
  <si>
    <t>REPOUSO SEMANAL REMUNERADO</t>
  </si>
  <si>
    <t>Não incide</t>
  </si>
  <si>
    <t>B2</t>
  </si>
  <si>
    <t>FERIADOS</t>
  </si>
  <si>
    <t>B3</t>
  </si>
  <si>
    <t>AUXÍLIO - ENFERMIDADE</t>
  </si>
  <si>
    <t>B4</t>
  </si>
  <si>
    <t>13º SALÁRIO</t>
  </si>
  <si>
    <t>B5</t>
  </si>
  <si>
    <t>LICENÇA PATERNIDADE</t>
  </si>
  <si>
    <t>B6</t>
  </si>
  <si>
    <t>FALTAS JUSTIFICADAS</t>
  </si>
  <si>
    <t>B7</t>
  </si>
  <si>
    <t>DIAS DE CHUVAS</t>
  </si>
  <si>
    <t>B8</t>
  </si>
  <si>
    <t>AUXÍLIO ACIDENTE DE TRABALHO</t>
  </si>
  <si>
    <t>B9</t>
  </si>
  <si>
    <t>FÉRIAS GOZADAS</t>
  </si>
  <si>
    <t>B10</t>
  </si>
  <si>
    <t>SALÁRIO MATERNIDADE</t>
  </si>
  <si>
    <t>B</t>
  </si>
  <si>
    <t>GRUPO C</t>
  </si>
  <si>
    <t>C1</t>
  </si>
  <si>
    <t>AVISO PRÉVIO INDENIZADO</t>
  </si>
  <si>
    <t>C2</t>
  </si>
  <si>
    <t>AVISO PRÉVIO TRABALHADO</t>
  </si>
  <si>
    <t>C3</t>
  </si>
  <si>
    <t>FÉRIAS INDENIZADAS</t>
  </si>
  <si>
    <t>C4</t>
  </si>
  <si>
    <t>DEPÓSITO RESCISÃO SEM JUSTA CAUSA</t>
  </si>
  <si>
    <t>C5</t>
  </si>
  <si>
    <t>INDENIZAÇÃO ADICIONAL</t>
  </si>
  <si>
    <t>C</t>
  </si>
  <si>
    <t>GRUPO D</t>
  </si>
  <si>
    <t>D1</t>
  </si>
  <si>
    <t>REINCIDÊNCIA DE GRUPO A SOBRE GRUPO B</t>
  </si>
  <si>
    <t>D2</t>
  </si>
  <si>
    <t>REINCIDÊNCIA DE GRUPO A SOBRE AVISO PRÉVIO TRABALHADO E REINCIDÊNCIA DO FGTS SOBRE AVISO PRÉVIO INDENIZADO</t>
  </si>
  <si>
    <t>D</t>
  </si>
  <si>
    <t>TOTAL A + B + C + D</t>
  </si>
  <si>
    <t>FONTE: http://www.caixa.gov.br/site/paginas/downloads.aspx</t>
  </si>
  <si>
    <t>Código</t>
  </si>
  <si>
    <t>Descrição</t>
  </si>
  <si>
    <t>Unidade</t>
  </si>
  <si>
    <t>Preço</t>
  </si>
  <si>
    <t>CD</t>
  </si>
  <si>
    <t>SD</t>
  </si>
  <si>
    <t>APLICAÇÃO MANUAL DE PINTURA COM TINTA LÁTEX ACRÍLICA EM PAREDES, DUAS DEMÃOS. AF_06/2014</t>
  </si>
  <si>
    <t>ARGAMASSA TRAÇO 1:3 (EM VOLUME DE CIMENTO E AREIA MÉDIA ÚMIDA), PREPARO MANUAL. AF_08/2019</t>
  </si>
  <si>
    <t>AUXILIAR DE ENCANADOR OU BOMBEIRO HIDRÁULICO COM ENCARGOS COMPLEMENTARES</t>
  </si>
  <si>
    <t>H</t>
  </si>
  <si>
    <t>BETONEIRA CAPACIDADE NOMINAL DE 400 L, CAPACIDADE DE MISTURA 280 L, MOTOR ELÉTRICO TRIFÁSICO POTÊNCIA DE 2 CV, SEM CARREGADOR - CHI DIURNO. AF_10/2014</t>
  </si>
  <si>
    <t>CHI</t>
  </si>
  <si>
    <t>BETONEIRA CAPACIDADE NOMINAL DE 400 L, CAPACIDADE DE MISTURA 280 L, MOTOR ELÉTRICO TRIFÁSICO POTÊNCIA DE 2 CV, SEM CARREGADOR - CHP DIURNO. AF_10/2014</t>
  </si>
  <si>
    <t>CHP</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</si>
  <si>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</si>
  <si>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</si>
  <si>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</si>
  <si>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</si>
  <si>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CARPINTEIRO DE FORMAS COM ENCARGOS COMPLEMENTARES</t>
  </si>
  <si>
    <t>CHUMBAMENTO LINEAR EM ALVENARIA PARA RAMAIS/DISTRIBUIÇÃO COM DIÂMETROS MENORES OU IGUAIS A 40 MM. AF_05/2015</t>
  </si>
  <si>
    <t>M</t>
  </si>
  <si>
    <t>CONCRETO MAGRO PARA LASTRO, TRAÇO 1:4,5:4,5 (EM MASSA SECA DE CIMENTO/ AREIA MÉDIA/ BRITA 1) - PREPARO MECÂNICO COM BETONEIRA 400 L. AF_05/2021</t>
  </si>
  <si>
    <t>CURSO DE CAPACITAÇÃO PARA AUXILIAR DE ENCANADOR OU BOMBEIRO HIDRÁULICO (ENCARGOS COMPLEMENTARES) - HORISTA</t>
  </si>
  <si>
    <t>CURSO DE CAPACITAÇÃO PARA CARPINTEIRO DE FÔRMAS (ENCARGOS COMPLEMENTARES) - HORISTA</t>
  </si>
  <si>
    <t>CURSO DE CAPACITAÇÃO PARA ELETRICISTA (ENCARGOS COMPLEMENTARES) - HORISTA</t>
  </si>
  <si>
    <t>CURSO DE CAPACITAÇÃO PARA ENCANADOR OU BOMBEIRO HIDRÁULICO (ENCARGOS COMPLEMENTARES) - HORISTA</t>
  </si>
  <si>
    <t>CURSO DE CAPACITAÇÃO PARA ENGENHEIRO CIVIL DE OBRA JÚNIOR (ENCARGOS COMPLEMENTARES) - HORISTA</t>
  </si>
  <si>
    <t>CURSO DE CAPACITAÇÃO PARA MESTRE DE OBRAS (ENCARGOS COMPLEMENTARES) - HORISTA</t>
  </si>
  <si>
    <t>CURSO DE CAPACITAÇÃO PARA MONTADOR DE ESTRUTURA METÁLICA (ENCARGOS COMPLEMENTARES) - HORISTA</t>
  </si>
  <si>
    <t>CURSO DE CAPACITAÇÃO PARA OPERADOR DE BETONEIRA ESTACIONÁRIA/MISTURADOR (ENCARGOS COMPLEMENTARES) - HORISTA</t>
  </si>
  <si>
    <t>CURSO DE CAPACITAÇÃO PARA OPERADOR DE GUINCHO (ENCARGOS COMPLEMENTARES) - HORISTA</t>
  </si>
  <si>
    <t>CURSO DE CAPACITAÇÃO PARA PINTOR (ENCARGOS COMPLEMENTARES) - HORISTA</t>
  </si>
  <si>
    <t>CURSO DE CAPACITAÇÃO PARA SERVENTE (ENCARGOS COMPLEMENTARES) - HORISTA</t>
  </si>
  <si>
    <t>CURSO DE CAPACITAÇÃO PARA TELHADISTA (ENCARGOS COMPLEMENTARES) - HORISTA</t>
  </si>
  <si>
    <t>ELETRICISTA COM ENCARGOS COMPLEMENTARES</t>
  </si>
  <si>
    <t>ENCANADOR OU BOMBEIRO HIDRÁULICO COM ENCARGOS COMPLEMENTARES</t>
  </si>
  <si>
    <t>ENGENHEIRO CIVIL DE OBRA JUNIOR COM ENCARGOS COMPLEMENTARES</t>
  </si>
  <si>
    <t>GUINCHO ELÉTRICO DE COLUNA, CAPACIDADE 400 KG, COM MOTO FREIO, MOTOR TRIFÁSICO DE 1,25 CV - CHI DIURNO. AF_03/2016</t>
  </si>
  <si>
    <t>GUINCHO ELÉTRICO DE COLUNA, CAPACIDADE 400 KG, COM MOTO FREIO, MOTOR TRIFÁSICO DE 1,25 CV - CHP DIURNO.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</si>
  <si>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</si>
  <si>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</si>
  <si>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</si>
  <si>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</si>
  <si>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JOELHO 90 GRAUS COM BUCHA DE LATÃO, PVC, SOLDÁVEL, DN 25MM, X 3/4 INSTALADO EM RAMAL OU SUB-RAMAL DE ÁGUA - FORNECIMENTO E INSTALAÇÃO. AF_12/2014</t>
  </si>
  <si>
    <t>JOELHO 90 GRAUS, PVC, SOLDÁVEL, DN 25MM, INSTALADO EM RAMAL OU SUB-RAMAL DE ÁGUA - FORNECIMENTO E INSTALAÇÃO. AF_12/2014</t>
  </si>
  <si>
    <t>MESTRE DE OBRAS COM ENCARGOS COMPLEMENTARES</t>
  </si>
  <si>
    <t>MONTADOR DE ESTRUTURA METÁLICA COM ENCARGOS COMPLEMENTARES</t>
  </si>
  <si>
    <t>OPERADOR DE BETONEIRA ESTACIONÁRIA/MISTURADOR COM ENCARGOS COMPLEMENTARES</t>
  </si>
  <si>
    <t>OPERADOR DE GUINCHO COM ENCARGOS COMPLEMENTARES</t>
  </si>
  <si>
    <t>PINTOR COM ENCARGOS COMPLEMENTARES</t>
  </si>
  <si>
    <t>PONTO DE CONSUMO TERMINAL DE ÁGUA FRIA (SUBRAMAL) COM TUBULAÇÃO DE PVC, DN 25 MM, INSTALADO EM RAMAL DE ÁGUA, INCLUSOS RASGO E CHUMBAMENTO EM ALVENARIA. AF_12/2014</t>
  </si>
  <si>
    <t>RASGO EM ALVENARIA PARA RAMAIS/ DISTRIBUIÇÃO COM DIAMETROS MENORES OU IGUAIS A 40 MM. AF_05/2015</t>
  </si>
  <si>
    <t>REMOÇÃO DE FORROS DE DRYWALL, PVC E FIBROMINERAL, DE FORMA MANUAL, SEM REAPROVEITAMENTO. AF_12/2017</t>
  </si>
  <si>
    <t>REMOÇÃO DE LOUÇAS, DE FORMA MANUAL, SEM REAPROVEITAMENTO. AF_12/2017</t>
  </si>
  <si>
    <t>SERVENTE COM ENCARGOS COMPLEMENTARES</t>
  </si>
  <si>
    <t>TE, PVC, SOLDÁVEL, DN 25MM, INSTALADO EM RAMAL OU SUB-RAMAL DE ÁGUA - FORNECIMENTO E INSTALAÇÃO. AF_12/2014</t>
  </si>
  <si>
    <t>TELHADISTA COM ENCARGOS COMPLEMENTARES</t>
  </si>
  <si>
    <t>TELHAMENTO COM TELHA DE AÇO/ALUMÍNIO E = 0,5 MM, COM ATÉ 2 ÁGUAS, INCLUSO IÇAMENTO. AF_07/2019</t>
  </si>
  <si>
    <t>TUBO, PVC, SOLDÁVEL, DN 25MM, INSTALADO EM RAMAL OU SUB-RAMAL DE ÁGUA - FORNECIMENTO E INSTALAÇÃO. AF_12/2014</t>
  </si>
  <si>
    <t>ADESIVO PLASTICO PARA PVC, FRASCO COM *850* GR</t>
  </si>
  <si>
    <t>ALIMENTACAO - HORISTA (COLETADO CAIXA)</t>
  </si>
  <si>
    <t>AREIA MEDIA - POSTO JAZIDA/FORNECEDOR (RETIRADO NA JAZIDA, SEM TRANSPORTE)</t>
  </si>
  <si>
    <t>AUXILIAR DE ENCANADOR OU BOMBEIRO HIDRAULICO</t>
  </si>
  <si>
    <t>BETONEIRA CAPACIDADE NOMINAL 400 L, CAPACIDADE DE MISTURA  280 L, MOTOR ELETRICO TRIFASICO 220/380 V POTENCIA 2 CV, SEM CARREGADOR</t>
  </si>
  <si>
    <t>CARPINTEIRO DE FORMAS</t>
  </si>
  <si>
    <t>CIMENTO PORTLAND COMPOSTO CP II-32</t>
  </si>
  <si>
    <t>KG</t>
  </si>
  <si>
    <t>ELETRICISTA</t>
  </si>
  <si>
    <t>ENCANADOR OU BOMBEIRO HIDRAULICO</t>
  </si>
  <si>
    <t>ENERGIA ELETRICA ATE 2000 KWH INDUSTRIAL, SEM DEMANDA</t>
  </si>
  <si>
    <t>KW/H</t>
  </si>
  <si>
    <t>ENGENHEIRO CIVIL DE OBRA JUNIOR</t>
  </si>
  <si>
    <t>EPI - FAMILIA CARPINTEIRO DE FORMAS - HORISTA (ENCARGOS COMPLEMENTARES - COLETADO CAIXA)</t>
  </si>
  <si>
    <t>EPI - FAMILIA ELETRICISTA - HORISTA (ENCARGOS COMPLEMENTARES - COLETADO CAIXA)</t>
  </si>
  <si>
    <t>EPI - FAMILIA ENCANADOR - HORISTA (ENCARGOS COMPLEMENTARES - COLETADO CAIXA)</t>
  </si>
  <si>
    <t>EPI - FAMILIA ENCARREGADO GERAL - HORISTA (ENCARGOS COMPLEMENTARES - COLETADO CAIXA)</t>
  </si>
  <si>
    <t>EPI - FAMILIA ENGENHEIRO CIVIL - HORISTA (ENCARGOS COMPLEMENTARES - COLETADO CAIXA)</t>
  </si>
  <si>
    <t>EPI - FAMILIA OPERADOR ESCAVADEIRA - HORISTA (ENCARGOS COMPLEMENTARES - COLETADO CAIXA)</t>
  </si>
  <si>
    <t>EPI - FAMILIA PINTOR - HORISTA (ENCARGOS COMPLEMENTARES - COLETADO CAIXA)</t>
  </si>
  <si>
    <t>EPI - FAMILIA SERVENTE - HORISTA (ENCARGOS COMPLEMENTARES - COLETADO CAIXA)</t>
  </si>
  <si>
    <t>EXAMES - HORISTA (COLETADO CAIXA)</t>
  </si>
  <si>
    <t>FERRAMENTAS - FAMILIA CARPINTEIRO DE FORMAS - HORISTA (ENCARGOS COMPLEMENTARES - COLETADO CAIXA)</t>
  </si>
  <si>
    <t>FERRAMENTAS - FAMILIA ELETRICISTA - HORISTA (ENCARGOS COMPLEMENTARES - COLETADO CAIXA)</t>
  </si>
  <si>
    <t>FERRAMENTAS - FAMILIA ENCANADOR - HORISTA (ENCARGOS COMPLEMENTARES - COLETADO CAIXA)</t>
  </si>
  <si>
    <t>FERRAMENTAS - FAMILIA ENCARREGADO GERAL - HORISTA (ENCARGOS COMPLEMENTARES - COLETADO CAIXA)</t>
  </si>
  <si>
    <t>FERRAMENTAS - FAMILIA ENGENHEIRO CIVIL - HORISTA (ENCARGOS COMPLEMENTARES - COLETADO CAIXA)</t>
  </si>
  <si>
    <t>FERRAMENTAS - FAMILIA OPERADOR ESCAVADEIRA - HORISTA (ENCARGOS COMPLEMENTARES - COLETADO CAIXA)</t>
  </si>
  <si>
    <t>FERRAMENTAS - FAMILIA PINTOR - HORISTA (ENCARGOS COMPLEMENTARES - COLETADO CAIXA)</t>
  </si>
  <si>
    <t>FERRAMENTAS - FAMILIA SERVENTE - HORISTA (ENCARGOS COMPLEMENTARES - COLETADO CAIXA)</t>
  </si>
  <si>
    <t>GUINCHO ELETRICO DE COLUNA, CAPACIDADE 400 KG, COM MOTO FREIO, MOTOR TRIFASICO DE 1,25 CV</t>
  </si>
  <si>
    <t>HASTE RETA PARA GANCHO DE FERRO GALVANIZADO, COM ROSCA 1/4 " X 30 CM PARA FIXACAO DE TELHA METALICA, INCLUI PORCA E ARRUELAS DE VEDACAO</t>
  </si>
  <si>
    <t>CJ</t>
  </si>
  <si>
    <t>JOELHO PVC, SOLDAVEL, 90 GRAUS, 25 MM, PARA AGUA FRIA PREDIAL</t>
  </si>
  <si>
    <t>JOELHO PVC, SOLDAVEL, COM BUCHA DE LATAO, 90 GRAUS, 25 MM X 3/4", PARA AGUA FRIA PREDIAL</t>
  </si>
  <si>
    <t>LIXA D'AGUA EM FOLHA, GRAO 100</t>
  </si>
  <si>
    <t>LOCAÇÃO DE CAIXA COLETORA DE ENTULHO CAPACIDADE 5 M³ (LOCAL: ARACAJU)</t>
  </si>
  <si>
    <t>LUMINARIA DE SOBREPOR EM CHAPA DE ACO PARA 2 LAMPADAS FLUORESCENTES DE *18* W, ALETADA, COMPLETA (LAMPADAS E REATOR INCLUSOS)</t>
  </si>
  <si>
    <t>MESTRE DE OBRAS</t>
  </si>
  <si>
    <t>MONTADOR DE ESTRUTURAS METALICAS HORISTA</t>
  </si>
  <si>
    <t>OPERADOR DE BETONEIRA ESTACIONARIA / MISTURADOR</t>
  </si>
  <si>
    <t>OPERADOR DE GUINCHO OU GUINCHEIRO</t>
  </si>
  <si>
    <t>PEDRA BRITADA N. 1 (9,5 a 19 MM) POSTO PEDREIRA/FORNECEDOR, SEM FRETE</t>
  </si>
  <si>
    <t>PINTOR</t>
  </si>
  <si>
    <t>PLACA DE OBRA (PARA CONSTRUCAO CIVIL) EM CHAPA GALVANIZADA *N. 22*, ADESIVADA, DE *2,4 X 1,2* M (SEM POSTES PARA FIXACAO)</t>
  </si>
  <si>
    <t>PONTALETE *7,5 X 7,5* CM EM PINUS, MISTA OU EQUIVALENTE DA REGIAO - BRUTA</t>
  </si>
  <si>
    <t>PREGO DE ACO POLIDO COM CABECA 18 X 30 (2 3/4 X 10)</t>
  </si>
  <si>
    <t>SABÃO EM PÓ</t>
  </si>
  <si>
    <t>SARRAFO NAO APARELHADO *2,5 X 7* CM, EM MACARANDUBA, ANGELIM OU EQUIVALENTE DA REGIAO - BRUTA</t>
  </si>
  <si>
    <t>SEGURO - HORISTA (COLETADO CAIXA)</t>
  </si>
  <si>
    <t>SERVENTE DE OBRAS</t>
  </si>
  <si>
    <t>SOLUCAO PREPARADORA / LIMPADORA PARA PVC, FRASCO COM 1000 CM3</t>
  </si>
  <si>
    <t>TE SOLDAVEL, PVC, 90 GRAUS, 25 MM, PARA AGUA FRIA PREDIAL (NBR 5648)</t>
  </si>
  <si>
    <t>TELHA TRAPEZOIDAL EM ACO ZINCADO, SEM PINTURA, ALTURA DE APROXIMADAMENTE 40 MM, ESPESSURA DE 0,50 MM E LARGURA UTIL DE 980 MM</t>
  </si>
  <si>
    <t>TELHADOR</t>
  </si>
  <si>
    <t>TINTA LATEX ACRILICA PREMIUM, COR BRANCO FOSCO</t>
  </si>
  <si>
    <t>TRANSPORTE - HORISTA (COLETADO CAIXA)</t>
  </si>
  <si>
    <t>TUBO PVC, SOLDAVEL, DN 25 MM, AGUA FRIA (NBR-5648)</t>
  </si>
  <si>
    <t>VASSOURA PIAÇAVA</t>
  </si>
  <si>
    <t>PARCELAS DE MAIOR RELEVÂNCIA TÉCNICO - FINANCEIRA DE OBRA PARA FINS DE QUALIFICAÇÃO TÉCNICO - OPERACIONAL EM PROCESSO LICITATÓRIO</t>
  </si>
  <si>
    <t>TELHAMENTO COM TELHA METÁLICA AÇO/ALUMÌNIO</t>
  </si>
  <si>
    <t>APLICAÇÃO MANUAL DE PINTURA COM TINTA LÁTEX ACRÍLICA</t>
  </si>
  <si>
    <t>LUMINÁRIAS TIPO CALHA, DE SOBREPOR COM REATORES DE PARTIDA RÁPIDA E LÂMPADAS FLUORESCENTES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</si>
</sst>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
    <numFmt numFmtId="166" formatCode="#,##0.00000"/>
    <numFmt numFmtId="167" formatCode="#,##0.000000"/>
    <numFmt numFmtId="168" formatCode="#,##0.0000000"/>
    <numFmt numFmtId="169" formatCode="0.000%"/>
  </numFmts>
  <fonts count="21" x14ac:knownFonts="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11"/>
      <color indexed="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top/>
      <bottom style="thin">
        <color auto="1"/>
      </bottom>
      <diagonal/>
    </border>
    <border>
      <left/>
      <right style="thin">
        <color auto="1"/>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s>
  <cellStyleXfs count="43">
    <xf numFmtId="0" fontId="0" fillId="0" borderId="0" applyFill="0" applyProtection="0">
      <alignment vertical="center"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8" fillId="0" borderId="0" applyFont="0" applyFill="0" applyBorder="0" applyAlignment="0" applyProtection="0">
      <alignment vertical="center" wrapText="1"/>
    </xf>
  </cellStyleXfs>
  <cellXfs count="121">
    <xf numFmtId="0" fontId="0" fillId="0" borderId="0" xfId="0">
      <alignment vertical="center" wrapText="1"/>
    </xf>
    <xf numFmtId="0" fontId="0" fillId="0" borderId="0" xfId="0" applyFill="1" applyProtection="1">
      <alignment vertical="center" wrapText="1"/>
    </xf>
    <xf numFmtId="0" fontId="19" fillId="0" borderId="0" xfId="0" applyFont="1" applyFill="1" applyAlignment="1" applyProtection="1">
      <alignment horizontal="center" vertical="center" wrapText="1"/>
    </xf>
    <xf numFmtId="0" fontId="19" fillId="0" borderId="0" xfId="0" applyFont="1" applyFill="1" applyProtection="1">
      <alignment vertical="center" wrapText="1"/>
    </xf>
    <xf numFmtId="0" fontId="19" fillId="0" borderId="0" xfId="0" applyFont="1" applyFill="1" applyAlignment="1" applyProtection="1">
      <alignment horizontal="left" vertical="center"/>
    </xf>
    <xf numFmtId="4" fontId="19" fillId="0" borderId="0" xfId="0" applyNumberFormat="1" applyFont="1" applyFill="1" applyAlignment="1" applyProtection="1">
      <alignment horizontal="center" vertical="center" wrapText="1"/>
    </xf>
    <xf numFmtId="0" fontId="19" fillId="0" borderId="10" xfId="0" applyFont="1" applyFill="1" applyBorder="1" applyAlignment="1" applyProtection="1">
      <alignment horizontal="center" vertical="center" wrapText="1"/>
    </xf>
    <xf numFmtId="4" fontId="0" fillId="0" borderId="17" xfId="0" applyNumberFormat="1" applyFill="1" applyBorder="1" applyAlignment="1" applyProtection="1">
      <alignment horizontal="center" vertical="center" wrapText="1"/>
    </xf>
    <xf numFmtId="4" fontId="0" fillId="0" borderId="0" xfId="0" applyNumberFormat="1" applyFont="1" applyFill="1" applyAlignment="1" applyProtection="1">
      <alignment horizontal="center" vertical="center" wrapText="1"/>
    </xf>
    <xf numFmtId="0" fontId="0" fillId="0" borderId="10" xfId="0" applyFont="1" applyFill="1" applyBorder="1" applyAlignment="1" applyProtection="1">
      <alignment horizontal="justify" vertical="center" wrapText="1"/>
    </xf>
    <xf numFmtId="0" fontId="19" fillId="0" borderId="19" xfId="0" applyFont="1" applyFill="1" applyBorder="1" applyAlignment="1" applyProtection="1">
      <alignment horizontal="center" vertical="center" wrapText="1"/>
    </xf>
    <xf numFmtId="0" fontId="0" fillId="0" borderId="24" xfId="0" applyFill="1" applyBorder="1" applyAlignment="1" applyProtection="1">
      <alignment horizontal="center" vertical="center" wrapText="1"/>
    </xf>
    <xf numFmtId="10" fontId="0" fillId="0" borderId="10" xfId="0" applyNumberFormat="1" applyFont="1" applyFill="1" applyBorder="1" applyAlignment="1" applyProtection="1">
      <alignment horizontal="center" vertical="center"/>
    </xf>
    <xf numFmtId="4" fontId="19" fillId="0" borderId="19" xfId="0" applyNumberFormat="1" applyFont="1" applyFill="1" applyBorder="1" applyAlignment="1" applyProtection="1">
      <alignment horizontal="center" vertical="center" wrapText="1"/>
    </xf>
    <xf numFmtId="10" fontId="19" fillId="0" borderId="10" xfId="0" applyNumberFormat="1" applyFont="1" applyFill="1" applyBorder="1" applyAlignment="1" applyProtection="1">
      <alignment horizontal="center" vertical="center"/>
    </xf>
    <xf numFmtId="0" fontId="19" fillId="0" borderId="24"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4" fontId="0" fillId="0" borderId="10" xfId="0" applyNumberFormat="1" applyFont="1" applyFill="1" applyBorder="1" applyAlignment="1" applyProtection="1">
      <alignment horizontal="center" vertical="center" wrapText="1"/>
    </xf>
    <xf numFmtId="0" fontId="19" fillId="0" borderId="14" xfId="0" applyFont="1" applyFill="1" applyBorder="1" applyProtection="1">
      <alignment vertical="center" wrapText="1"/>
    </xf>
    <xf numFmtId="0" fontId="0" fillId="0" borderId="10"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4" fontId="19" fillId="0" borderId="10" xfId="0" applyNumberFormat="1"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12" xfId="0" applyFont="1" applyFill="1" applyBorder="1" applyAlignment="1" applyProtection="1">
      <alignment vertical="center"/>
    </xf>
    <xf numFmtId="0" fontId="0" fillId="0" borderId="14"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4" fontId="0" fillId="0" borderId="14" xfId="0" applyNumberFormat="1" applyFont="1" applyFill="1" applyBorder="1" applyAlignment="1" applyProtection="1">
      <alignment horizontal="center" vertical="center" wrapText="1"/>
    </xf>
    <xf numFmtId="4" fontId="0" fillId="0" borderId="13" xfId="0" applyNumberFormat="1" applyFont="1" applyFill="1" applyBorder="1" applyAlignment="1" applyProtection="1">
      <alignment horizontal="center" vertical="center" wrapText="1"/>
    </xf>
    <xf numFmtId="165" fontId="0" fillId="0" borderId="10" xfId="0" applyNumberFormat="1" applyFont="1" applyFill="1" applyBorder="1" applyAlignment="1" applyProtection="1">
      <alignment horizontal="center" vertical="center" wrapText="1"/>
    </xf>
    <xf numFmtId="164" fontId="0" fillId="0" borderId="10" xfId="0" applyNumberFormat="1" applyFont="1" applyFill="1" applyBorder="1" applyAlignment="1" applyProtection="1">
      <alignment horizontal="center" vertical="center" wrapText="1"/>
    </xf>
    <xf numFmtId="166" fontId="0" fillId="0" borderId="10" xfId="0" applyNumberFormat="1" applyFont="1" applyFill="1" applyBorder="1" applyAlignment="1" applyProtection="1">
      <alignment horizontal="center" vertical="center" wrapText="1"/>
    </xf>
    <xf numFmtId="168" fontId="0" fillId="0" borderId="10" xfId="0" applyNumberFormat="1" applyFont="1" applyFill="1" applyBorder="1" applyAlignment="1" applyProtection="1">
      <alignment horizontal="center" vertical="center" wrapText="1"/>
    </xf>
    <xf numFmtId="167" fontId="0" fillId="0" borderId="10" xfId="0" applyNumberFormat="1" applyFont="1" applyFill="1" applyBorder="1" applyAlignment="1" applyProtection="1">
      <alignment horizontal="center" vertical="center" wrapText="1"/>
    </xf>
    <xf numFmtId="0" fontId="20" fillId="0" borderId="0" xfId="0" applyFont="1" applyFill="1" applyAlignment="1" applyProtection="1">
      <alignment horizontal="center" vertical="center" wrapText="1"/>
    </xf>
    <xf numFmtId="0" fontId="0" fillId="0" borderId="10" xfId="0" applyFill="1" applyBorder="1" applyAlignment="1" applyProtection="1">
      <alignment horizontal="center" vertical="top" wrapText="1"/>
    </xf>
    <xf numFmtId="0" fontId="20" fillId="0" borderId="0" xfId="0" applyFont="1" applyFill="1" applyProtection="1">
      <alignment vertical="center" wrapText="1"/>
    </xf>
    <xf numFmtId="10" fontId="20" fillId="0" borderId="0" xfId="42" applyNumberFormat="1" applyFont="1" applyFill="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12" xfId="0" applyFont="1" applyFill="1" applyBorder="1" applyAlignment="1" applyProtection="1">
      <alignment horizontal="justify" vertical="center" wrapText="1"/>
    </xf>
    <xf numFmtId="0" fontId="0" fillId="0" borderId="14" xfId="0" applyFont="1" applyFill="1" applyBorder="1" applyAlignment="1" applyProtection="1">
      <alignment horizontal="justify" vertical="center" wrapText="1"/>
    </xf>
    <xf numFmtId="0" fontId="0" fillId="0" borderId="13" xfId="0" applyFont="1" applyFill="1" applyBorder="1" applyAlignment="1" applyProtection="1">
      <alignment horizontal="justify" vertical="center" wrapText="1"/>
    </xf>
    <xf numFmtId="0" fontId="0" fillId="0" borderId="12" xfId="0" applyFill="1" applyBorder="1" applyAlignment="1" applyProtection="1">
      <alignment horizontal="justify" vertical="top"/>
    </xf>
    <xf numFmtId="0" fontId="0" fillId="0" borderId="14" xfId="0" applyFill="1" applyBorder="1" applyAlignment="1" applyProtection="1">
      <alignment horizontal="justify" vertical="top"/>
    </xf>
    <xf numFmtId="0" fontId="0" fillId="0" borderId="13" xfId="0" applyFill="1" applyBorder="1" applyAlignment="1" applyProtection="1">
      <alignment horizontal="justify" vertical="top"/>
    </xf>
    <xf numFmtId="4" fontId="0" fillId="0" borderId="18" xfId="0" applyNumberFormat="1" applyFill="1" applyBorder="1" applyAlignment="1" applyProtection="1">
      <alignment horizontal="center" vertical="center" wrapText="1"/>
    </xf>
    <xf numFmtId="4" fontId="0" fillId="0" borderId="17" xfId="0" applyNumberFormat="1" applyFill="1" applyBorder="1" applyAlignment="1" applyProtection="1">
      <alignment horizontal="center" vertical="center" wrapText="1"/>
    </xf>
    <xf numFmtId="0" fontId="19" fillId="0" borderId="12"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0" xfId="0" applyFont="1" applyFill="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0" fillId="0" borderId="12"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19" fillId="0" borderId="21"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4" fontId="19" fillId="0" borderId="20" xfId="0" applyNumberFormat="1" applyFont="1" applyFill="1" applyBorder="1" applyAlignment="1" applyProtection="1">
      <alignment horizontal="center" vertical="center" wrapText="1"/>
    </xf>
    <xf numFmtId="4" fontId="19" fillId="0" borderId="25" xfId="0" applyNumberFormat="1" applyFont="1" applyFill="1" applyBorder="1" applyAlignment="1" applyProtection="1">
      <alignment horizontal="center" vertical="center" wrapText="1"/>
    </xf>
    <xf numFmtId="10" fontId="19" fillId="0" borderId="29" xfId="0" applyNumberFormat="1" applyFont="1" applyFill="1" applyBorder="1" applyAlignment="1" applyProtection="1">
      <alignment horizontal="center" vertical="center"/>
    </xf>
    <xf numFmtId="10" fontId="19" fillId="0" borderId="30" xfId="0" applyNumberFormat="1" applyFont="1" applyFill="1" applyBorder="1" applyAlignment="1" applyProtection="1">
      <alignment horizontal="center" vertical="center"/>
    </xf>
    <xf numFmtId="0" fontId="19" fillId="0" borderId="20" xfId="0" applyFont="1" applyFill="1" applyBorder="1" applyAlignment="1" applyProtection="1">
      <alignment horizontal="center" vertical="center" wrapText="1"/>
    </xf>
    <xf numFmtId="0" fontId="19" fillId="0" borderId="25"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4" fontId="19" fillId="0" borderId="24" xfId="0" applyNumberFormat="1" applyFont="1" applyFill="1" applyBorder="1" applyAlignment="1" applyProtection="1">
      <alignment horizontal="center" vertical="center" wrapText="1"/>
    </xf>
    <xf numFmtId="4" fontId="19" fillId="0" borderId="17" xfId="0" applyNumberFormat="1" applyFont="1" applyFill="1" applyBorder="1" applyAlignment="1" applyProtection="1">
      <alignment horizontal="center" vertical="center" wrapText="1"/>
    </xf>
    <xf numFmtId="0" fontId="19" fillId="0" borderId="12" xfId="0" applyFont="1" applyFill="1" applyBorder="1" applyAlignment="1" applyProtection="1">
      <alignment horizontal="left" vertical="center" wrapText="1"/>
    </xf>
    <xf numFmtId="0" fontId="19" fillId="0" borderId="14" xfId="0" applyFont="1" applyFill="1" applyBorder="1" applyAlignment="1" applyProtection="1">
      <alignment horizontal="left" vertical="center" wrapText="1"/>
    </xf>
    <xf numFmtId="0" fontId="19" fillId="0" borderId="13" xfId="0" applyFont="1" applyFill="1" applyBorder="1" applyAlignment="1" applyProtection="1">
      <alignment horizontal="left" vertical="center" wrapText="1"/>
    </xf>
    <xf numFmtId="4" fontId="19" fillId="0" borderId="18" xfId="0" applyNumberFormat="1" applyFont="1" applyFill="1" applyBorder="1" applyAlignment="1" applyProtection="1">
      <alignment horizontal="center" vertical="center" wrapText="1"/>
    </xf>
    <xf numFmtId="0" fontId="0" fillId="0" borderId="32" xfId="0" applyFont="1" applyBorder="1" applyAlignment="1">
      <alignment horizontal="left" vertical="center" wrapText="1"/>
    </xf>
    <xf numFmtId="4" fontId="0" fillId="0" borderId="12" xfId="0" applyNumberFormat="1" applyFont="1" applyFill="1" applyBorder="1" applyAlignment="1" applyProtection="1">
      <alignment horizontal="center" vertical="center" wrapText="1"/>
    </xf>
    <xf numFmtId="4" fontId="0" fillId="0" borderId="13" xfId="0" applyNumberFormat="1" applyFont="1" applyFill="1" applyBorder="1" applyAlignment="1" applyProtection="1">
      <alignment horizontal="center" vertical="center" wrapText="1"/>
    </xf>
    <xf numFmtId="4" fontId="0" fillId="0" borderId="18" xfId="0" applyNumberFormat="1" applyFont="1" applyFill="1" applyBorder="1" applyAlignment="1" applyProtection="1">
      <alignment horizontal="center" vertical="center" wrapText="1"/>
    </xf>
    <xf numFmtId="4" fontId="0" fillId="0" borderId="17" xfId="0" applyNumberFormat="1" applyFont="1" applyFill="1" applyBorder="1" applyAlignment="1" applyProtection="1">
      <alignment horizontal="center" vertical="center" wrapText="1"/>
    </xf>
    <xf numFmtId="0" fontId="19" fillId="0" borderId="31"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19" fillId="0" borderId="35" xfId="0" applyFont="1" applyFill="1" applyBorder="1" applyAlignment="1" applyProtection="1">
      <alignment horizontal="left" vertical="center" wrapText="1"/>
    </xf>
    <xf numFmtId="0" fontId="19" fillId="0" borderId="34"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0" fillId="0" borderId="14"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0" borderId="17" xfId="0" applyFont="1" applyFill="1" applyBorder="1" applyAlignment="1" applyProtection="1">
      <alignment horizontal="left" vertical="center" wrapText="1"/>
    </xf>
    <xf numFmtId="0" fontId="19" fillId="0" borderId="33" xfId="0" applyFont="1" applyFill="1" applyBorder="1" applyAlignment="1" applyProtection="1">
      <alignment horizontal="center" vertical="center" wrapText="1"/>
    </xf>
    <xf numFmtId="4" fontId="0" fillId="0" borderId="12" xfId="0" applyNumberFormat="1" applyFill="1" applyBorder="1" applyAlignment="1" applyProtection="1">
      <alignment horizontal="center" vertical="center" wrapText="1"/>
    </xf>
    <xf numFmtId="4" fontId="0" fillId="0" borderId="14" xfId="0" applyNumberFormat="1" applyFill="1" applyBorder="1" applyAlignment="1" applyProtection="1">
      <alignment horizontal="center" vertical="center" wrapText="1"/>
    </xf>
    <xf numFmtId="4" fontId="0" fillId="0" borderId="13" xfId="0" applyNumberFormat="1" applyFill="1" applyBorder="1" applyAlignment="1" applyProtection="1">
      <alignment horizontal="center" vertical="center" wrapText="1"/>
    </xf>
    <xf numFmtId="0" fontId="0" fillId="0" borderId="32" xfId="0" applyBorder="1" applyAlignment="1">
      <alignment horizontal="left" vertical="center" wrapText="1"/>
    </xf>
    <xf numFmtId="0" fontId="0" fillId="0" borderId="15" xfId="0" applyFill="1" applyBorder="1" applyAlignment="1" applyProtection="1">
      <alignment horizontal="justify" vertical="top" wrapText="1"/>
    </xf>
    <xf numFmtId="0" fontId="0" fillId="0" borderId="16" xfId="0" applyFill="1" applyBorder="1" applyAlignment="1" applyProtection="1">
      <alignment horizontal="justify" vertical="top" wrapText="1"/>
    </xf>
    <xf numFmtId="0" fontId="0" fillId="0" borderId="36" xfId="0" applyFill="1" applyBorder="1" applyAlignment="1" applyProtection="1">
      <alignment horizontal="justify" vertical="top" wrapText="1"/>
    </xf>
    <xf numFmtId="0" fontId="0" fillId="0" borderId="11"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39" xfId="0" applyFill="1" applyBorder="1" applyAlignment="1" applyProtection="1">
      <alignment horizontal="justify" vertical="top" wrapText="1"/>
    </xf>
    <xf numFmtId="0" fontId="0" fillId="0" borderId="37" xfId="0" applyFill="1" applyBorder="1" applyAlignment="1" applyProtection="1">
      <alignment horizontal="justify" vertical="top" wrapText="1"/>
    </xf>
    <xf numFmtId="0" fontId="0" fillId="0" borderId="33" xfId="0" applyFill="1" applyBorder="1" applyAlignment="1" applyProtection="1">
      <alignment horizontal="justify" vertical="top" wrapText="1"/>
    </xf>
    <xf numFmtId="0" fontId="0" fillId="0" borderId="38" xfId="0" applyFill="1" applyBorder="1" applyAlignment="1" applyProtection="1">
      <alignment horizontal="justify" vertical="top" wrapText="1"/>
    </xf>
    <xf numFmtId="10" fontId="19" fillId="0" borderId="12" xfId="42" applyNumberFormat="1" applyFont="1" applyFill="1" applyBorder="1" applyAlignment="1" applyProtection="1">
      <alignment horizontal="center" vertical="top"/>
    </xf>
    <xf numFmtId="10" fontId="19" fillId="0" borderId="13" xfId="42" applyNumberFormat="1" applyFont="1" applyFill="1" applyBorder="1" applyAlignment="1" applyProtection="1">
      <alignment horizontal="center" vertical="top"/>
    </xf>
    <xf numFmtId="0" fontId="0" fillId="0" borderId="0" xfId="0" applyFill="1" applyAlignment="1" applyProtection="1">
      <alignment horizontal="center" vertical="center" wrapText="1"/>
    </xf>
    <xf numFmtId="0" fontId="0" fillId="0" borderId="0" xfId="0" applyFill="1" applyAlignment="1" applyProtection="1">
      <alignment horizontal="left" vertical="center" wrapText="1"/>
    </xf>
    <xf numFmtId="0" fontId="0" fillId="0" borderId="12"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12" xfId="0" applyFill="1" applyBorder="1" applyAlignment="1" applyProtection="1">
      <alignment horizontal="center" vertical="top"/>
    </xf>
    <xf numFmtId="0" fontId="0" fillId="0" borderId="14" xfId="0" applyFill="1" applyBorder="1" applyAlignment="1" applyProtection="1">
      <alignment horizontal="center" vertical="top"/>
    </xf>
    <xf numFmtId="0" fontId="0" fillId="0" borderId="13" xfId="0" applyFill="1" applyBorder="1" applyAlignment="1" applyProtection="1">
      <alignment horizontal="center" vertical="top"/>
    </xf>
    <xf numFmtId="169" fontId="18" fillId="0" borderId="12" xfId="42" applyNumberFormat="1" applyFont="1" applyFill="1" applyBorder="1" applyAlignment="1" applyProtection="1">
      <alignment horizontal="center" vertical="top"/>
    </xf>
    <xf numFmtId="169" fontId="18" fillId="0" borderId="13" xfId="42" applyNumberFormat="1" applyFont="1" applyFill="1" applyBorder="1" applyAlignment="1" applyProtection="1">
      <alignment horizontal="center" vertical="top"/>
    </xf>
    <xf numFmtId="0" fontId="20" fillId="0" borderId="16" xfId="0" applyFont="1" applyFill="1" applyBorder="1" applyAlignment="1" applyProtection="1">
      <alignment horizontal="left" vertical="center"/>
    </xf>
    <xf numFmtId="0" fontId="0" fillId="0" borderId="14" xfId="0" applyFill="1" applyBorder="1" applyAlignment="1" applyProtection="1">
      <alignment horizontal="center" vertical="top" wrapText="1"/>
    </xf>
    <xf numFmtId="0" fontId="19" fillId="0" borderId="15" xfId="0" applyFont="1" applyFill="1" applyBorder="1" applyAlignment="1" applyProtection="1">
      <alignment horizontal="center" vertical="center" wrapText="1"/>
    </xf>
    <xf numFmtId="0" fontId="19" fillId="0" borderId="3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38"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ustomBuiltin="1"/>
    <cellStyle name="Nota" xfId="15" builtinId="10" customBuiltin="1"/>
    <cellStyle name="Porcentagem 2" xfId="42"/>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8e65e74483b571dd/&#193;rea%20de%20Trabalho/PLANILHA%20BOM%20JESUS%20COM%20DESONERA&#199;&#195;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RESUMO"/>
      <sheetName val="CRONOGRAMA"/>
      <sheetName val="ORCAMENTO"/>
      <sheetName val="MEMORIA"/>
      <sheetName val="COMPOSICAO"/>
      <sheetName val="COMPOSICAO_AUX_1"/>
      <sheetName val="COMPOSICAO_AUX_2"/>
      <sheetName val="COMPOSICAO_AUX_3"/>
      <sheetName val="PARCELAS DE MAIOR RELEVANCIA"/>
      <sheetName val="ABCS"/>
      <sheetName val="BDI"/>
      <sheetName val="LS"/>
      <sheetName val="S"/>
      <sheetName val="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C7" t="str">
            <v>PISO VINÍLICO 30 X 30 CM, E=2MM, LISO, FIXADO COM COLA SOBRE CIMENTADO, PAVIFLEX OU SIMILAR (EXCETO CIMENTADO)</v>
          </cell>
          <cell r="G7" t="str">
            <v>M2</v>
          </cell>
        </row>
        <row r="8">
          <cell r="G8" t="str">
            <v>M2</v>
          </cell>
        </row>
        <row r="9">
          <cell r="G9" t="str">
            <v>M2</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130" zoomScaleNormal="70" zoomScaleSheetLayoutView="130" workbookViewId="0">
      <selection activeCell="A10" sqref="A10:K10"/>
    </sheetView>
  </sheetViews>
  <sheetFormatPr defaultRowHeight="15" customHeight="1" x14ac:dyDescent="0.25"/>
  <cols>
    <col min="1" max="1" width="12" style="1" customWidth="1"/>
    <col min="2" max="2" width="8" style="1" customWidth="1"/>
    <col min="3" max="3" width="4" style="1" customWidth="1"/>
    <col min="4" max="4" width="8" style="1" customWidth="1"/>
    <col min="5" max="6" width="21.85546875" style="1" customWidth="1"/>
    <col min="7" max="7" width="16" style="1" customWidth="1"/>
    <col min="8" max="11" width="9.85546875" style="1" customWidth="1"/>
    <col min="12" max="12" width="16" style="1" customWidth="1"/>
    <col min="13" max="16384" width="9.140625" style="1"/>
  </cols>
  <sheetData>
    <row r="1" spans="1:12" ht="15" customHeight="1" x14ac:dyDescent="0.25">
      <c r="A1" s="49" t="s">
        <v>0</v>
      </c>
      <c r="B1" s="49"/>
      <c r="C1" s="49"/>
      <c r="D1" s="49"/>
      <c r="E1" s="49"/>
      <c r="F1" s="49"/>
      <c r="G1" s="49"/>
      <c r="H1" s="49"/>
      <c r="I1" s="49"/>
      <c r="J1" s="49"/>
      <c r="K1" s="49"/>
    </row>
    <row r="2" spans="1:12" ht="15" customHeight="1" x14ac:dyDescent="0.25">
      <c r="A2" s="49" t="s">
        <v>1</v>
      </c>
      <c r="B2" s="49"/>
      <c r="C2" s="49"/>
      <c r="D2" s="49"/>
      <c r="E2" s="49"/>
      <c r="F2" s="49"/>
      <c r="G2" s="49"/>
      <c r="H2" s="49"/>
      <c r="I2" s="49"/>
      <c r="J2" s="49"/>
      <c r="K2" s="49"/>
    </row>
    <row r="3" spans="1:12" ht="15" customHeight="1" x14ac:dyDescent="0.25">
      <c r="A3" s="49" t="s">
        <v>2</v>
      </c>
      <c r="B3" s="49"/>
      <c r="C3" s="49"/>
      <c r="D3" s="49"/>
      <c r="E3" s="49"/>
      <c r="F3" s="49"/>
      <c r="G3" s="49"/>
      <c r="H3" s="49"/>
      <c r="I3" s="49"/>
      <c r="J3" s="49"/>
      <c r="K3" s="49"/>
    </row>
    <row r="4" spans="1:12" ht="15" customHeight="1" x14ac:dyDescent="0.25">
      <c r="A4" s="3"/>
      <c r="B4" s="3"/>
      <c r="C4" s="3"/>
      <c r="D4" s="3"/>
      <c r="E4" s="3"/>
      <c r="F4" s="3"/>
      <c r="G4" s="3"/>
      <c r="H4" s="3"/>
      <c r="I4" s="3"/>
      <c r="J4" s="3"/>
      <c r="K4" s="3"/>
    </row>
    <row r="5" spans="1:12" ht="15" customHeight="1" x14ac:dyDescent="0.25">
      <c r="A5" s="2" t="s">
        <v>3</v>
      </c>
      <c r="B5" s="4" t="s">
        <v>4</v>
      </c>
      <c r="C5" s="2"/>
      <c r="D5" s="2"/>
      <c r="E5" s="2"/>
      <c r="F5" s="4" t="s">
        <v>5</v>
      </c>
      <c r="G5" s="2" t="s">
        <v>6</v>
      </c>
      <c r="H5" s="5">
        <f>IF(ONERA="COM DESONERAÇÃO",LS!$G$43,LS!$I$43)*100</f>
        <v>111.86</v>
      </c>
      <c r="I5" s="3"/>
      <c r="J5" s="2" t="s">
        <v>7</v>
      </c>
      <c r="K5" s="5">
        <f>BDI!J17*100</f>
        <v>20.34</v>
      </c>
    </row>
    <row r="6" spans="1:12" ht="15" customHeight="1" x14ac:dyDescent="0.25">
      <c r="A6" s="46" t="s">
        <v>8</v>
      </c>
      <c r="B6" s="47"/>
      <c r="C6" s="47"/>
      <c r="D6" s="47"/>
      <c r="E6" s="47"/>
      <c r="F6" s="47"/>
      <c r="G6" s="48"/>
      <c r="H6" s="46" t="s">
        <v>9</v>
      </c>
      <c r="I6" s="48"/>
      <c r="J6" s="46" t="s">
        <v>10</v>
      </c>
      <c r="K6" s="48"/>
      <c r="L6" s="2" t="s">
        <v>11</v>
      </c>
    </row>
    <row r="7" spans="1:12" ht="15" customHeight="1" x14ac:dyDescent="0.25">
      <c r="A7" s="41" t="s">
        <v>12</v>
      </c>
      <c r="B7" s="42"/>
      <c r="C7" s="42"/>
      <c r="D7" s="42"/>
      <c r="E7" s="42"/>
      <c r="F7" s="42"/>
      <c r="G7" s="43"/>
      <c r="H7" s="44">
        <v>0</v>
      </c>
      <c r="I7" s="45"/>
      <c r="J7" s="44">
        <f>VLOOKUP("TOTAL",RESUMO!A:K,10,FALSE)</f>
        <v>65641.929999999993</v>
      </c>
      <c r="K7" s="45"/>
      <c r="L7" s="8">
        <f>(J7)-(H7)</f>
        <v>65641.929999999993</v>
      </c>
    </row>
    <row r="8" spans="1:12" ht="15" customHeight="1" x14ac:dyDescent="0.25">
      <c r="A8" s="3"/>
      <c r="B8" s="3"/>
      <c r="C8" s="3"/>
      <c r="D8" s="3"/>
      <c r="E8" s="3"/>
      <c r="F8" s="3"/>
      <c r="G8" s="3"/>
      <c r="H8" s="3"/>
      <c r="I8" s="3"/>
      <c r="J8" s="3"/>
      <c r="K8" s="3"/>
    </row>
    <row r="9" spans="1:12" ht="15" customHeight="1" x14ac:dyDescent="0.25">
      <c r="A9" s="46" t="s">
        <v>13</v>
      </c>
      <c r="B9" s="47"/>
      <c r="C9" s="47"/>
      <c r="D9" s="47"/>
      <c r="E9" s="47"/>
      <c r="F9" s="47"/>
      <c r="G9" s="47"/>
      <c r="H9" s="47"/>
      <c r="I9" s="47"/>
      <c r="J9" s="47"/>
      <c r="K9" s="48"/>
    </row>
    <row r="10" spans="1:12" ht="15" customHeight="1" x14ac:dyDescent="0.25">
      <c r="A10" s="38" t="s">
        <v>14</v>
      </c>
      <c r="B10" s="39"/>
      <c r="C10" s="39"/>
      <c r="D10" s="39"/>
      <c r="E10" s="39"/>
      <c r="F10" s="39"/>
      <c r="G10" s="39"/>
      <c r="H10" s="39"/>
      <c r="I10" s="39"/>
      <c r="J10" s="39"/>
      <c r="K10" s="40"/>
    </row>
    <row r="11" spans="1:12" ht="15" customHeight="1" x14ac:dyDescent="0.25">
      <c r="A11" s="3"/>
      <c r="B11" s="3"/>
      <c r="C11" s="3"/>
      <c r="D11" s="3"/>
      <c r="E11" s="3"/>
      <c r="F11" s="3"/>
      <c r="G11" s="3"/>
      <c r="H11" s="3"/>
      <c r="I11" s="3"/>
      <c r="J11" s="3"/>
      <c r="K11" s="3"/>
    </row>
    <row r="12" spans="1:12" ht="15" customHeight="1" x14ac:dyDescent="0.25">
      <c r="A12" s="46" t="s">
        <v>15</v>
      </c>
      <c r="B12" s="47"/>
      <c r="C12" s="47"/>
      <c r="D12" s="47"/>
      <c r="E12" s="47"/>
      <c r="F12" s="47"/>
      <c r="G12" s="47"/>
      <c r="H12" s="47"/>
      <c r="I12" s="47"/>
      <c r="J12" s="47"/>
      <c r="K12" s="48"/>
    </row>
    <row r="13" spans="1:12" ht="78" customHeight="1" x14ac:dyDescent="0.25">
      <c r="A13" s="38" t="s">
        <v>16</v>
      </c>
      <c r="B13" s="39"/>
      <c r="C13" s="39"/>
      <c r="D13" s="39"/>
      <c r="E13" s="39"/>
      <c r="F13" s="39"/>
      <c r="G13" s="39"/>
      <c r="H13" s="39"/>
      <c r="I13" s="39"/>
      <c r="J13" s="39"/>
      <c r="K13" s="40"/>
    </row>
    <row r="14" spans="1:12" ht="60" customHeight="1" x14ac:dyDescent="0.25">
      <c r="A14" s="38" t="s">
        <v>17</v>
      </c>
      <c r="B14" s="39"/>
      <c r="C14" s="39"/>
      <c r="D14" s="39"/>
      <c r="E14" s="39"/>
      <c r="F14" s="39"/>
      <c r="G14" s="39"/>
      <c r="H14" s="39"/>
      <c r="I14" s="39"/>
      <c r="J14" s="39"/>
      <c r="K14" s="40"/>
    </row>
    <row r="15" spans="1:12" ht="249.95" customHeight="1" x14ac:dyDescent="0.25">
      <c r="A15" s="38" t="s">
        <v>18</v>
      </c>
      <c r="B15" s="39"/>
      <c r="C15" s="39"/>
      <c r="D15" s="39"/>
      <c r="E15" s="39"/>
      <c r="F15" s="39"/>
      <c r="G15" s="39"/>
      <c r="H15" s="39"/>
      <c r="I15" s="39"/>
      <c r="J15" s="39"/>
      <c r="K15" s="40"/>
    </row>
  </sheetData>
  <sheetProtection formatCells="0" formatColumns="0" formatRows="0" insertColumns="0" insertRows="0" insertHyperlinks="0" deleteColumns="0" deleteRows="0" sort="0" autoFilter="0" pivotTables="0"/>
  <mergeCells count="15">
    <mergeCell ref="A1:K1"/>
    <mergeCell ref="A2:K2"/>
    <mergeCell ref="A3:K3"/>
    <mergeCell ref="A6:G6"/>
    <mergeCell ref="H6:I6"/>
    <mergeCell ref="J6:K6"/>
    <mergeCell ref="A13:K13"/>
    <mergeCell ref="A14:K14"/>
    <mergeCell ref="A15:K15"/>
    <mergeCell ref="A7:G7"/>
    <mergeCell ref="H7:I7"/>
    <mergeCell ref="J7:K7"/>
    <mergeCell ref="A9:K9"/>
    <mergeCell ref="A10:K10"/>
    <mergeCell ref="A12:K12"/>
  </mergeCells>
  <dataValidations count="1">
    <dataValidation type="list" allowBlank="1" showInputMessage="1" showErrorMessage="1" sqref="F5">
      <formula1>"COM DESONERAÇÃO,SEM DESONERAÇÃO"</formula1>
    </dataValidation>
  </dataValidations>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election activeCell="I9" sqref="I9"/>
    </sheetView>
  </sheetViews>
  <sheetFormatPr defaultRowHeight="15" customHeight="1" x14ac:dyDescent="0.25"/>
  <cols>
    <col min="1" max="1" width="14.7109375" style="1" customWidth="1"/>
    <col min="2" max="2" width="12.7109375" style="1" customWidth="1"/>
    <col min="3" max="3" width="4.7109375" style="1" customWidth="1"/>
    <col min="4" max="4" width="8.7109375" style="1" customWidth="1"/>
    <col min="5" max="5" width="25.7109375" style="1" customWidth="1"/>
    <col min="6" max="6" width="12.7109375" style="1" customWidth="1"/>
    <col min="7" max="7" width="8.7109375" style="1" customWidth="1"/>
    <col min="8" max="9" width="16.7109375" style="1" customWidth="1"/>
    <col min="10" max="11" width="8.7109375" style="1" customWidth="1"/>
    <col min="12" max="12" width="16.7109375" style="1" customWidth="1"/>
    <col min="13" max="13" width="27.5703125" style="1" customWidth="1"/>
    <col min="14" max="16384" width="9.140625" style="1"/>
  </cols>
  <sheetData>
    <row r="1" spans="1:13" ht="15" customHeight="1" x14ac:dyDescent="0.25">
      <c r="A1" s="49" t="str">
        <f>CIDADE</f>
        <v>MUNICÍPIO DE SAO RAIMUNDO NONATO - PI</v>
      </c>
      <c r="B1" s="49"/>
      <c r="C1" s="49"/>
      <c r="D1" s="49"/>
      <c r="E1" s="49"/>
      <c r="F1" s="49"/>
      <c r="G1" s="49"/>
      <c r="H1" s="49"/>
      <c r="I1" s="49"/>
      <c r="J1" s="49"/>
      <c r="K1" s="49"/>
    </row>
    <row r="2" spans="1:13" ht="15" customHeight="1" x14ac:dyDescent="0.25">
      <c r="A2" s="49" t="str">
        <f>OBRA</f>
        <v>ESPAÇO DA CIDADANIA</v>
      </c>
      <c r="B2" s="49"/>
      <c r="C2" s="49"/>
      <c r="D2" s="49"/>
      <c r="E2" s="49"/>
      <c r="F2" s="49"/>
      <c r="G2" s="49"/>
      <c r="H2" s="49"/>
      <c r="I2" s="49"/>
      <c r="J2" s="49"/>
      <c r="K2" s="49"/>
    </row>
    <row r="3" spans="1:13" ht="15" customHeight="1" x14ac:dyDescent="0.25">
      <c r="A3" s="49" t="s">
        <v>197</v>
      </c>
      <c r="B3" s="49"/>
      <c r="C3" s="49"/>
      <c r="D3" s="49"/>
      <c r="E3" s="49"/>
      <c r="F3" s="49"/>
      <c r="G3" s="49"/>
      <c r="H3" s="49"/>
      <c r="I3" s="49"/>
      <c r="J3" s="49"/>
      <c r="K3" s="49"/>
    </row>
    <row r="4" spans="1:13" ht="15" customHeight="1" x14ac:dyDescent="0.25">
      <c r="A4" s="3"/>
      <c r="B4" s="3"/>
      <c r="C4" s="3"/>
      <c r="D4" s="3"/>
      <c r="E4" s="3"/>
      <c r="F4" s="3"/>
      <c r="G4" s="3"/>
      <c r="H4" s="3"/>
      <c r="I4" s="3"/>
      <c r="J4" s="3"/>
      <c r="K4" s="3"/>
    </row>
    <row r="5" spans="1:13" ht="15" customHeight="1" x14ac:dyDescent="0.25">
      <c r="A5" s="2" t="s">
        <v>3</v>
      </c>
      <c r="B5" s="4" t="str">
        <f>FONTE&amp;ONERA</f>
        <v>SINAPI PI-12/2021, SEINFRA 27, ORSE-11/2021, SEM DESONERAÇÃO</v>
      </c>
      <c r="C5" s="2"/>
      <c r="D5" s="2"/>
      <c r="E5" s="2"/>
      <c r="G5" s="3"/>
      <c r="H5" s="2" t="s">
        <v>6</v>
      </c>
      <c r="I5" s="5">
        <f>LEI</f>
        <v>111.86</v>
      </c>
      <c r="J5" s="2" t="s">
        <v>7</v>
      </c>
      <c r="K5" s="5">
        <f>BDI</f>
        <v>20.34</v>
      </c>
    </row>
    <row r="6" spans="1:13" ht="15" customHeight="1" x14ac:dyDescent="0.25">
      <c r="A6" s="10" t="s">
        <v>110</v>
      </c>
      <c r="B6" s="10" t="s">
        <v>31</v>
      </c>
      <c r="C6" s="79" t="s">
        <v>8</v>
      </c>
      <c r="D6" s="80"/>
      <c r="E6" s="80"/>
      <c r="F6" s="80"/>
      <c r="G6" s="6" t="s">
        <v>32</v>
      </c>
      <c r="H6" s="6" t="s">
        <v>111</v>
      </c>
      <c r="I6" s="6" t="s">
        <v>112</v>
      </c>
      <c r="J6" s="51" t="s">
        <v>10</v>
      </c>
      <c r="K6" s="52"/>
    </row>
    <row r="7" spans="1:13" ht="30" customHeight="1" x14ac:dyDescent="0.25">
      <c r="A7" s="6" t="s">
        <v>113</v>
      </c>
      <c r="B7" s="20">
        <v>95378</v>
      </c>
      <c r="C7" s="81" t="str">
        <f>VLOOKUP(B7,S!$A:$D,2,FALSE)</f>
        <v>CURSO DE CAPACITAÇÃO PARA SERVENTE (ENCARGOS COMPLEMENTARES) - HORISTA</v>
      </c>
      <c r="D7" s="81"/>
      <c r="E7" s="81"/>
      <c r="F7" s="82"/>
      <c r="G7" s="6" t="str">
        <f>VLOOKUP(B7,S!$A:$D,3,FALSE)</f>
        <v>H</v>
      </c>
      <c r="H7" s="21"/>
      <c r="I7" s="21">
        <f>J9</f>
        <v>0.18</v>
      </c>
      <c r="J7" s="73"/>
      <c r="K7" s="69"/>
      <c r="L7" s="21">
        <f>VLOOKUP(B7,S!$A:$D,4,FALSE)</f>
        <v>0.18</v>
      </c>
      <c r="M7" s="6" t="str">
        <f>IF(ROUND((L7-I7),2)=0,"OK, confere com a tabela.",IF(ROUND((L7-I7),2)&lt;0,"ACIMA ("&amp;TEXT(ROUND(I7*100/L7,4),"0,0000")&amp;" %) da tabela.","ABAIXO ("&amp;TEXT(ROUND(I7*100/L7,4),"0,0000")&amp;" %) da tabela."))</f>
        <v>OK, confere com a tabela.</v>
      </c>
    </row>
    <row r="8" spans="1:13" ht="15" customHeight="1" x14ac:dyDescent="0.25">
      <c r="A8" s="16" t="s">
        <v>114</v>
      </c>
      <c r="B8" s="19">
        <v>6111</v>
      </c>
      <c r="C8" s="74" t="str">
        <f>VLOOKUP(B8,IF(A8="COMPOSICAO",S!$A:$D,I!$A:$D),2,FALSE)</f>
        <v>SERVENTE DE OBRAS</v>
      </c>
      <c r="D8" s="74"/>
      <c r="E8" s="74"/>
      <c r="F8" s="74"/>
      <c r="G8" s="16" t="str">
        <f>VLOOKUP(B8,IF(A8="COMPOSICAO",S!$A:$D,I!$A:$D),3,FALSE)</f>
        <v>H</v>
      </c>
      <c r="H8" s="29">
        <v>1.72E-2</v>
      </c>
      <c r="I8" s="17">
        <f>VLOOKUP(B8,I!$A:$D,4,FALSE)</f>
        <v>10.59</v>
      </c>
      <c r="J8" s="77">
        <f>TRUNC(H8*I8,2)</f>
        <v>0.18</v>
      </c>
      <c r="K8" s="78"/>
    </row>
    <row r="9" spans="1:13" ht="15" customHeight="1" x14ac:dyDescent="0.25">
      <c r="A9" s="23" t="s">
        <v>176</v>
      </c>
      <c r="B9" s="24"/>
      <c r="C9" s="24"/>
      <c r="D9" s="24"/>
      <c r="E9" s="24"/>
      <c r="F9" s="24"/>
      <c r="G9" s="25"/>
      <c r="H9" s="26"/>
      <c r="I9" s="27"/>
      <c r="J9" s="77">
        <f>SUM(J7:K8)</f>
        <v>0.18</v>
      </c>
      <c r="K9" s="78"/>
    </row>
    <row r="10" spans="1:13" ht="15" customHeight="1" x14ac:dyDescent="0.25">
      <c r="A10" s="3"/>
      <c r="B10" s="3"/>
      <c r="C10" s="3"/>
      <c r="D10" s="3"/>
      <c r="E10" s="3"/>
      <c r="F10" s="3"/>
      <c r="G10" s="3"/>
      <c r="H10" s="3"/>
      <c r="I10" s="3"/>
      <c r="J10" s="3"/>
      <c r="K10" s="3"/>
    </row>
  </sheetData>
  <sheetProtection formatCells="0" formatColumns="0" formatRows="0" insertColumns="0" insertRows="0" insertHyperlinks="0" deleteColumns="0" deleteRows="0" sort="0" autoFilter="0" pivotTables="0"/>
  <mergeCells count="10">
    <mergeCell ref="C8:F8"/>
    <mergeCell ref="J8:K8"/>
    <mergeCell ref="J9:K9"/>
    <mergeCell ref="A1:K1"/>
    <mergeCell ref="A2:K2"/>
    <mergeCell ref="A3:K3"/>
    <mergeCell ref="C6:F6"/>
    <mergeCell ref="J6:K6"/>
    <mergeCell ref="C7:F7"/>
    <mergeCell ref="J7:K7"/>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60" zoomScaleNormal="100" workbookViewId="0">
      <selection activeCell="C9" sqref="C9:F9"/>
    </sheetView>
  </sheetViews>
  <sheetFormatPr defaultRowHeight="15" customHeight="1" x14ac:dyDescent="0.25"/>
  <cols>
    <col min="1" max="2" width="12.7109375" style="1" customWidth="1"/>
    <col min="3" max="3" width="4.7109375" style="1" customWidth="1"/>
    <col min="4" max="4" width="8" style="1" customWidth="1"/>
    <col min="5" max="5" width="19" style="1" customWidth="1"/>
    <col min="6" max="6" width="20" style="1" customWidth="1"/>
    <col min="7" max="7" width="8.7109375" style="1" customWidth="1"/>
    <col min="8" max="8" width="16.7109375" style="1" customWidth="1"/>
    <col min="9" max="14" width="8.7109375" style="1" customWidth="1"/>
    <col min="15" max="16384" width="9.140625" style="1"/>
  </cols>
  <sheetData>
    <row r="1" spans="1:14" ht="15" customHeight="1" x14ac:dyDescent="0.25">
      <c r="A1" s="49" t="str">
        <f>CIDADE</f>
        <v>MUNICÍPIO DE SAO RAIMUNDO NONATO - PI</v>
      </c>
      <c r="B1" s="49"/>
      <c r="C1" s="49"/>
      <c r="D1" s="49"/>
      <c r="E1" s="49"/>
      <c r="F1" s="49"/>
      <c r="G1" s="49"/>
      <c r="H1" s="49"/>
      <c r="I1" s="49"/>
      <c r="J1" s="49"/>
      <c r="K1" s="49"/>
      <c r="L1" s="49"/>
      <c r="M1" s="49"/>
      <c r="N1" s="49"/>
    </row>
    <row r="2" spans="1:14" ht="15" customHeight="1" x14ac:dyDescent="0.25">
      <c r="A2" s="49" t="str">
        <f>OBRA</f>
        <v>ESPAÇO DA CIDADANIA</v>
      </c>
      <c r="B2" s="49"/>
      <c r="C2" s="49"/>
      <c r="D2" s="49"/>
      <c r="E2" s="49"/>
      <c r="F2" s="49"/>
      <c r="G2" s="49"/>
      <c r="H2" s="49"/>
      <c r="I2" s="49"/>
      <c r="J2" s="49"/>
      <c r="K2" s="49"/>
      <c r="L2" s="49"/>
      <c r="M2" s="49"/>
      <c r="N2" s="49"/>
    </row>
    <row r="3" spans="1:14" ht="15" customHeight="1" x14ac:dyDescent="0.25">
      <c r="A3" s="49" t="s">
        <v>198</v>
      </c>
      <c r="B3" s="49"/>
      <c r="C3" s="49"/>
      <c r="D3" s="49"/>
      <c r="E3" s="49"/>
      <c r="F3" s="49"/>
      <c r="G3" s="49"/>
      <c r="H3" s="49"/>
      <c r="I3" s="49"/>
      <c r="J3" s="49"/>
      <c r="K3" s="49"/>
      <c r="L3" s="49"/>
      <c r="M3" s="49"/>
      <c r="N3" s="49"/>
    </row>
    <row r="4" spans="1:14" ht="15" customHeight="1" x14ac:dyDescent="0.25">
      <c r="A4" s="3"/>
      <c r="B4" s="3"/>
      <c r="C4" s="3"/>
      <c r="D4" s="3"/>
      <c r="E4" s="3"/>
      <c r="F4" s="3"/>
      <c r="G4" s="3"/>
      <c r="H4" s="3"/>
      <c r="I4" s="3"/>
      <c r="J4" s="3"/>
      <c r="K4" s="3"/>
      <c r="L4" s="3"/>
      <c r="M4" s="3"/>
      <c r="N4" s="3"/>
    </row>
    <row r="5" spans="1:14" ht="15" customHeight="1" x14ac:dyDescent="0.25">
      <c r="A5" s="2" t="s">
        <v>3</v>
      </c>
      <c r="B5" s="4" t="str">
        <f>FONTE&amp;ONERA</f>
        <v>SINAPI PI-12/2021, SEINFRA 27, ORSE-11/2021, SEM DESONERAÇÃO</v>
      </c>
      <c r="C5" s="2"/>
      <c r="D5" s="2"/>
      <c r="E5" s="2"/>
      <c r="F5" s="3"/>
      <c r="G5" s="3"/>
      <c r="H5" s="2" t="s">
        <v>6</v>
      </c>
      <c r="I5" s="5">
        <f>LEI</f>
        <v>111.86</v>
      </c>
      <c r="J5" s="3"/>
      <c r="K5" s="3"/>
      <c r="L5" s="3"/>
      <c r="M5" s="2" t="s">
        <v>7</v>
      </c>
      <c r="N5" s="5">
        <f>BDI</f>
        <v>20.34</v>
      </c>
    </row>
    <row r="6" spans="1:14" ht="15" customHeight="1" x14ac:dyDescent="0.25">
      <c r="A6" s="10" t="s">
        <v>20</v>
      </c>
      <c r="B6" s="10" t="s">
        <v>31</v>
      </c>
      <c r="C6" s="79" t="s">
        <v>8</v>
      </c>
      <c r="D6" s="80"/>
      <c r="E6" s="80"/>
      <c r="F6" s="80"/>
      <c r="G6" s="6" t="s">
        <v>32</v>
      </c>
      <c r="H6" s="6" t="s">
        <v>33</v>
      </c>
      <c r="I6" s="46" t="s">
        <v>112</v>
      </c>
      <c r="J6" s="48"/>
      <c r="K6" s="46" t="s">
        <v>10</v>
      </c>
      <c r="L6" s="48"/>
      <c r="M6" s="46" t="s">
        <v>21</v>
      </c>
      <c r="N6" s="48"/>
    </row>
    <row r="7" spans="1:14" ht="45" customHeight="1" x14ac:dyDescent="0.25">
      <c r="A7" s="15">
        <v>1</v>
      </c>
      <c r="B7" s="19">
        <v>94213</v>
      </c>
      <c r="C7" s="74" t="str">
        <f>VLOOKUP(B7,ORCAMENTO!B:L,2,FALSE)</f>
        <v>TELHAMENTO COM TELHA DE AÇO/ALUMÍNIO E = 0,5 MM, COM ATÉ 2 ÁGUAS, INCLUSO IÇAMENTO. AF_07/2019</v>
      </c>
      <c r="D7" s="74"/>
      <c r="E7" s="74"/>
      <c r="F7" s="74"/>
      <c r="G7" s="16" t="str">
        <f>VLOOKUP(B7,ORCAMENTO!B:L,6,FALSE)</f>
        <v>M2</v>
      </c>
      <c r="H7" s="17">
        <f>SUMIF(ORCAMENTO!B:B,ABCS!B7,ORCAMENTO!H:H)</f>
        <v>256.2</v>
      </c>
      <c r="I7" s="75">
        <f>VLOOKUP(B7,ORCAMENTO!B:L,8,FALSE)</f>
        <v>101.39999999999999</v>
      </c>
      <c r="J7" s="76"/>
      <c r="K7" s="75">
        <f>SUMIF(ORCAMENTO!B:B,ABCS!B7,ORCAMENTO!K:K)</f>
        <v>25978.68</v>
      </c>
      <c r="L7" s="76"/>
      <c r="M7" s="75">
        <f t="shared" ref="M7:M18" si="0">ROUND((K7/$K$20)*100,4)</f>
        <v>39.5764</v>
      </c>
      <c r="N7" s="76"/>
    </row>
    <row r="8" spans="1:14" ht="45" customHeight="1" x14ac:dyDescent="0.25">
      <c r="A8" s="15">
        <v>2</v>
      </c>
      <c r="B8" s="19">
        <v>88489</v>
      </c>
      <c r="C8" s="74" t="str">
        <f>VLOOKUP(B8,ORCAMENTO!B:L,2,FALSE)</f>
        <v>APLICAÇÃO MANUAL DE PINTURA COM TINTA LÁTEX ACRÍLICA EM PAREDES, DUAS DEMÃOS. AF_06/2014</v>
      </c>
      <c r="D8" s="74"/>
      <c r="E8" s="74"/>
      <c r="F8" s="74"/>
      <c r="G8" s="16" t="str">
        <f>VLOOKUP(B8,ORCAMENTO!B:L,6,FALSE)</f>
        <v>M2</v>
      </c>
      <c r="H8" s="17">
        <f>SUMIF(ORCAMENTO!B:B,ABCS!B8,ORCAMENTO!H:H)</f>
        <v>953.69</v>
      </c>
      <c r="I8" s="75">
        <f>VLOOKUP(B8,ORCAMENTO!B:L,8,FALSE)</f>
        <v>14.99</v>
      </c>
      <c r="J8" s="76"/>
      <c r="K8" s="75">
        <f>SUMIF(ORCAMENTO!B:B,ABCS!B8,ORCAMENTO!K:K)</f>
        <v>14295.81</v>
      </c>
      <c r="L8" s="76"/>
      <c r="M8" s="75">
        <f t="shared" si="0"/>
        <v>21.778500000000001</v>
      </c>
      <c r="N8" s="76"/>
    </row>
    <row r="9" spans="1:14" ht="60" customHeight="1" x14ac:dyDescent="0.25">
      <c r="A9" s="15">
        <v>3</v>
      </c>
      <c r="B9" s="16" t="s">
        <v>98</v>
      </c>
      <c r="C9" s="74" t="str">
        <f>VLOOKUP(B9,ORCAMENTO!B:L,2,FALSE)</f>
        <v>LUMINÁRIAS TIPO CALHA, DE SOBREPOR, COM REATORES DE PARTIDA RÁPIDA E LÂMPADAS FLUORESCENTES 2X2X18W, COMPLETAS, FORNECIMENTO E INSTALAÇÃO</v>
      </c>
      <c r="D9" s="74"/>
      <c r="E9" s="74"/>
      <c r="F9" s="74"/>
      <c r="G9" s="16" t="str">
        <f>VLOOKUP(B9,ORCAMENTO!B:L,6,FALSE)</f>
        <v>UN</v>
      </c>
      <c r="H9" s="17">
        <f>SUMIF(ORCAMENTO!B:B,ABCS!B9,ORCAMENTO!H:H)</f>
        <v>50</v>
      </c>
      <c r="I9" s="75">
        <f>VLOOKUP(B9,ORCAMENTO!B:L,8,FALSE)</f>
        <v>198.66000000000003</v>
      </c>
      <c r="J9" s="76"/>
      <c r="K9" s="75">
        <f>SUMIF(ORCAMENTO!B:B,ABCS!B9,ORCAMENTO!K:K)</f>
        <v>9933</v>
      </c>
      <c r="L9" s="76"/>
      <c r="M9" s="75">
        <f t="shared" si="0"/>
        <v>15.132099999999999</v>
      </c>
      <c r="N9" s="76"/>
    </row>
    <row r="10" spans="1:14" ht="30" customHeight="1" x14ac:dyDescent="0.25">
      <c r="A10" s="15">
        <v>4</v>
      </c>
      <c r="B10" s="16" t="s">
        <v>68</v>
      </c>
      <c r="C10" s="74" t="str">
        <f>VLOOKUP(B10,ORCAMENTO!B:L,2,FALSE)</f>
        <v>REMOÇÃO DE PINTURA LÁTEX (RASPAGEM E/OU LIXAMENTO E/OU ESCOVAÇÃO (REF. SEINFRA C4913)</v>
      </c>
      <c r="D10" s="74"/>
      <c r="E10" s="74"/>
      <c r="F10" s="74"/>
      <c r="G10" s="16" t="str">
        <f>VLOOKUP(B10,ORCAMENTO!B:L,6,FALSE)</f>
        <v>M²</v>
      </c>
      <c r="H10" s="17">
        <f>SUMIF(ORCAMENTO!B:B,ABCS!B10,ORCAMENTO!H:H)</f>
        <v>953.69</v>
      </c>
      <c r="I10" s="75">
        <f>VLOOKUP(B10,ORCAMENTO!B:L,8,FALSE)</f>
        <v>7.86</v>
      </c>
      <c r="J10" s="76"/>
      <c r="K10" s="75">
        <f>SUMIF(ORCAMENTO!B:B,ABCS!B10,ORCAMENTO!K:K)</f>
        <v>7496</v>
      </c>
      <c r="L10" s="76"/>
      <c r="M10" s="75">
        <f t="shared" si="0"/>
        <v>11.419499999999999</v>
      </c>
      <c r="N10" s="76"/>
    </row>
    <row r="11" spans="1:14" ht="15" customHeight="1" x14ac:dyDescent="0.25">
      <c r="A11" s="15">
        <v>5</v>
      </c>
      <c r="B11" s="16" t="s">
        <v>105</v>
      </c>
      <c r="C11" s="74" t="str">
        <f>VLOOKUP(B11,ORCAMENTO!B:L,2,FALSE)</f>
        <v>LIMPEZA GERAL (REF. ORESE 02450)</v>
      </c>
      <c r="D11" s="74"/>
      <c r="E11" s="74"/>
      <c r="F11" s="74"/>
      <c r="G11" s="16" t="str">
        <f>VLOOKUP(B11,ORCAMENTO!B:L,6,FALSE)</f>
        <v>M2</v>
      </c>
      <c r="H11" s="17">
        <f>SUMIF(ORCAMENTO!B:B,ABCS!B11,ORCAMENTO!H:H)</f>
        <v>796.5</v>
      </c>
      <c r="I11" s="75">
        <f>VLOOKUP(B11,ORCAMENTO!B:L,8,FALSE)</f>
        <v>2.71</v>
      </c>
      <c r="J11" s="76"/>
      <c r="K11" s="75">
        <f>SUMIF(ORCAMENTO!B:B,ABCS!B11,ORCAMENTO!K:K)</f>
        <v>2158.52</v>
      </c>
      <c r="L11" s="76"/>
      <c r="M11" s="75">
        <f t="shared" si="0"/>
        <v>3.2883</v>
      </c>
      <c r="N11" s="76"/>
    </row>
    <row r="12" spans="1:14" ht="30" customHeight="1" x14ac:dyDescent="0.25">
      <c r="A12" s="15">
        <v>6</v>
      </c>
      <c r="B12" s="19">
        <v>90777</v>
      </c>
      <c r="C12" s="74" t="str">
        <f>VLOOKUP(B12,ORCAMENTO!B:L,2,FALSE)</f>
        <v>ENGENHEIRO CIVIL DE OBRA JUNIOR COM ENCARGOS COMPLEMENTARES</v>
      </c>
      <c r="D12" s="74"/>
      <c r="E12" s="74"/>
      <c r="F12" s="74"/>
      <c r="G12" s="16" t="str">
        <f>VLOOKUP(B12,ORCAMENTO!B:L,6,FALSE)</f>
        <v>H</v>
      </c>
      <c r="H12" s="17">
        <f>SUMIF(ORCAMENTO!B:B,ABCS!B12,ORCAMENTO!H:H)</f>
        <v>15</v>
      </c>
      <c r="I12" s="75">
        <f>VLOOKUP(B12,ORCAMENTO!B:L,8,FALSE)</f>
        <v>111.51000000000002</v>
      </c>
      <c r="J12" s="76"/>
      <c r="K12" s="75">
        <f>SUMIF(ORCAMENTO!B:B,ABCS!B12,ORCAMENTO!K:K)</f>
        <v>1672.65</v>
      </c>
      <c r="L12" s="76"/>
      <c r="M12" s="75">
        <f t="shared" si="0"/>
        <v>2.5480999999999998</v>
      </c>
      <c r="N12" s="76"/>
    </row>
    <row r="13" spans="1:14" ht="45" customHeight="1" x14ac:dyDescent="0.25">
      <c r="A13" s="15">
        <v>7</v>
      </c>
      <c r="B13" s="19">
        <v>97640</v>
      </c>
      <c r="C13" s="74" t="str">
        <f>VLOOKUP(B13,ORCAMENTO!B:L,2,FALSE)</f>
        <v>REMOÇÃO DE FORROS DE DRYWALL, PVC E FIBROMINERAL, DE FORMA MANUAL, SEM REAPROVEITAMENTO. AF_12/2017</v>
      </c>
      <c r="D13" s="74"/>
      <c r="E13" s="74"/>
      <c r="F13" s="74"/>
      <c r="G13" s="16" t="str">
        <f>VLOOKUP(B13,ORCAMENTO!B:L,6,FALSE)</f>
        <v>M2</v>
      </c>
      <c r="H13" s="17">
        <f>SUMIF(ORCAMENTO!B:B,ABCS!B13,ORCAMENTO!H:H)</f>
        <v>854.95</v>
      </c>
      <c r="I13" s="75">
        <f>VLOOKUP(B13,ORCAMENTO!B:L,8,FALSE)</f>
        <v>1.62</v>
      </c>
      <c r="J13" s="76"/>
      <c r="K13" s="75">
        <f>SUMIF(ORCAMENTO!B:B,ABCS!B13,ORCAMENTO!K:K)</f>
        <v>1385.02</v>
      </c>
      <c r="L13" s="76"/>
      <c r="M13" s="75">
        <f t="shared" si="0"/>
        <v>2.11</v>
      </c>
      <c r="N13" s="76"/>
    </row>
    <row r="14" spans="1:14" ht="15" customHeight="1" x14ac:dyDescent="0.25">
      <c r="A14" s="15">
        <v>8</v>
      </c>
      <c r="B14" s="19">
        <v>90780</v>
      </c>
      <c r="C14" s="74" t="str">
        <f>VLOOKUP(B14,ORCAMENTO!B:L,2,FALSE)</f>
        <v>MESTRE DE OBRAS COM ENCARGOS COMPLEMENTARES</v>
      </c>
      <c r="D14" s="74"/>
      <c r="E14" s="74"/>
      <c r="F14" s="74"/>
      <c r="G14" s="16" t="str">
        <f>VLOOKUP(B14,ORCAMENTO!B:L,6,FALSE)</f>
        <v>H</v>
      </c>
      <c r="H14" s="17">
        <f>SUMIF(ORCAMENTO!B:B,ABCS!B14,ORCAMENTO!H:H)</f>
        <v>30</v>
      </c>
      <c r="I14" s="75">
        <f>VLOOKUP(B14,ORCAMENTO!B:L,8,FALSE)</f>
        <v>45.810000000000009</v>
      </c>
      <c r="J14" s="76"/>
      <c r="K14" s="75">
        <f>SUMIF(ORCAMENTO!B:B,ABCS!B14,ORCAMENTO!K:K)</f>
        <v>1374.3</v>
      </c>
      <c r="L14" s="76"/>
      <c r="M14" s="75">
        <f t="shared" si="0"/>
        <v>2.0935999999999999</v>
      </c>
      <c r="N14" s="76"/>
    </row>
    <row r="15" spans="1:14" ht="60" customHeight="1" x14ac:dyDescent="0.25">
      <c r="A15" s="15">
        <v>9</v>
      </c>
      <c r="B15" s="19">
        <v>89957</v>
      </c>
      <c r="C15" s="74" t="str">
        <f>VLOOKUP(B15,ORCAMENTO!B:L,2,FALSE)</f>
        <v>PONTO DE CONSUMO TERMINAL DE ÁGUA FRIA (SUBRAMAL) COM TUBULAÇÃO DE PVC, DN 25 MM, INSTALADO EM RAMAL DE ÁGUA, INCLUSOS RASGO E CHUMBAMENTO EM ALVENARIA. AF_12/2014</v>
      </c>
      <c r="D15" s="74"/>
      <c r="E15" s="74"/>
      <c r="F15" s="74"/>
      <c r="G15" s="16" t="str">
        <f>VLOOKUP(B15,ORCAMENTO!B:L,6,FALSE)</f>
        <v>UN</v>
      </c>
      <c r="H15" s="17">
        <f>SUMIF(ORCAMENTO!B:B,ABCS!B15,ORCAMENTO!H:H)</f>
        <v>4</v>
      </c>
      <c r="I15" s="75">
        <f>VLOOKUP(B15,ORCAMENTO!B:L,8,FALSE)</f>
        <v>137.47999999999999</v>
      </c>
      <c r="J15" s="76"/>
      <c r="K15" s="75">
        <f>SUMIF(ORCAMENTO!B:B,ABCS!B15,ORCAMENTO!K:K)</f>
        <v>549.91999999999996</v>
      </c>
      <c r="L15" s="76"/>
      <c r="M15" s="75">
        <f t="shared" si="0"/>
        <v>0.83779999999999999</v>
      </c>
      <c r="N15" s="76"/>
    </row>
    <row r="16" spans="1:14" ht="15" customHeight="1" x14ac:dyDescent="0.25">
      <c r="A16" s="15">
        <v>10</v>
      </c>
      <c r="B16" s="16" t="s">
        <v>59</v>
      </c>
      <c r="C16" s="74" t="str">
        <f>VLOOKUP(B16,ORCAMENTO!B:L,2,FALSE)</f>
        <v xml:space="preserve">PLACA DE OBRA EM CHAPA DE AÇO GALVANIZADO </v>
      </c>
      <c r="D16" s="74"/>
      <c r="E16" s="74"/>
      <c r="F16" s="74"/>
      <c r="G16" s="16" t="str">
        <f>VLOOKUP(B16,ORCAMENTO!B:L,6,FALSE)</f>
        <v>M²</v>
      </c>
      <c r="H16" s="17">
        <f>SUMIF(ORCAMENTO!B:B,ABCS!B16,ORCAMENTO!H:H)</f>
        <v>1</v>
      </c>
      <c r="I16" s="75">
        <f>VLOOKUP(B16,ORCAMENTO!B:L,8,FALSE)</f>
        <v>392.81000000000006</v>
      </c>
      <c r="J16" s="76"/>
      <c r="K16" s="75">
        <f>SUMIF(ORCAMENTO!B:B,ABCS!B16,ORCAMENTO!K:K)</f>
        <v>392.81</v>
      </c>
      <c r="L16" s="76"/>
      <c r="M16" s="75">
        <f t="shared" si="0"/>
        <v>0.59840000000000004</v>
      </c>
      <c r="N16" s="76"/>
    </row>
    <row r="17" spans="1:14" ht="30" customHeight="1" x14ac:dyDescent="0.25">
      <c r="A17" s="15">
        <v>11</v>
      </c>
      <c r="B17" s="16" t="s">
        <v>107</v>
      </c>
      <c r="C17" s="74" t="str">
        <f>VLOOKUP(B17,ORCAMENTO!B:L,2,FALSE)</f>
        <v>RETIRADA DE ENTULHO DA OBRA UTILIZANDO CAIXA COLETORA CAPACIDADE 5 M3 (REF. 10033/ORSE)</v>
      </c>
      <c r="D17" s="74"/>
      <c r="E17" s="74"/>
      <c r="F17" s="74"/>
      <c r="G17" s="16" t="str">
        <f>VLOOKUP(B17,ORCAMENTO!B:L,6,FALSE)</f>
        <v>M3</v>
      </c>
      <c r="H17" s="17">
        <f>SUMIF(ORCAMENTO!B:B,ABCS!B17,ORCAMENTO!H:H)</f>
        <v>6</v>
      </c>
      <c r="I17" s="75">
        <f>VLOOKUP(B17,ORCAMENTO!B:L,8,FALSE)</f>
        <v>60.17</v>
      </c>
      <c r="J17" s="76"/>
      <c r="K17" s="75">
        <f>SUMIF(ORCAMENTO!B:B,ABCS!B17,ORCAMENTO!K:K)</f>
        <v>361.02</v>
      </c>
      <c r="L17" s="76"/>
      <c r="M17" s="75">
        <f t="shared" si="0"/>
        <v>0.55000000000000004</v>
      </c>
      <c r="N17" s="76"/>
    </row>
    <row r="18" spans="1:14" ht="30" customHeight="1" x14ac:dyDescent="0.25">
      <c r="A18" s="15">
        <v>12</v>
      </c>
      <c r="B18" s="19">
        <v>97663</v>
      </c>
      <c r="C18" s="74" t="str">
        <f>VLOOKUP(B18,ORCAMENTO!B:L,2,FALSE)</f>
        <v>REMOÇÃO DE LOUÇAS, DE FORMA MANUAL, SEM REAPROVEITAMENTO. AF_12/2017</v>
      </c>
      <c r="D18" s="74"/>
      <c r="E18" s="74"/>
      <c r="F18" s="74"/>
      <c r="G18" s="16" t="str">
        <f>VLOOKUP(B18,ORCAMENTO!B:L,6,FALSE)</f>
        <v>UN</v>
      </c>
      <c r="H18" s="17">
        <f>SUMIF(ORCAMENTO!B:B,ABCS!B18,ORCAMENTO!H:H)</f>
        <v>4</v>
      </c>
      <c r="I18" s="75">
        <f>VLOOKUP(B18,ORCAMENTO!B:L,8,FALSE)</f>
        <v>11.05</v>
      </c>
      <c r="J18" s="76"/>
      <c r="K18" s="75">
        <f>SUMIF(ORCAMENTO!B:B,ABCS!B18,ORCAMENTO!K:K)</f>
        <v>44.2</v>
      </c>
      <c r="L18" s="76"/>
      <c r="M18" s="75">
        <f t="shared" si="0"/>
        <v>6.7299999999999999E-2</v>
      </c>
      <c r="N18" s="76"/>
    </row>
    <row r="19" spans="1:14" ht="15" customHeight="1" x14ac:dyDescent="0.25">
      <c r="A19" s="3"/>
      <c r="B19" s="3"/>
      <c r="C19" s="3"/>
      <c r="D19" s="3"/>
      <c r="E19" s="3"/>
      <c r="F19" s="3"/>
      <c r="G19" s="3"/>
      <c r="H19" s="3"/>
      <c r="I19" s="3"/>
      <c r="J19" s="3"/>
      <c r="K19" s="3"/>
      <c r="L19" s="3"/>
      <c r="M19" s="3"/>
      <c r="N19" s="3"/>
    </row>
    <row r="20" spans="1:14" ht="15" customHeight="1" x14ac:dyDescent="0.25">
      <c r="A20" s="50" t="s">
        <v>199</v>
      </c>
      <c r="B20" s="51"/>
      <c r="C20" s="51"/>
      <c r="D20" s="51"/>
      <c r="E20" s="51"/>
      <c r="F20" s="51"/>
      <c r="G20" s="51"/>
      <c r="H20" s="51"/>
      <c r="I20" s="51"/>
      <c r="J20" s="52"/>
      <c r="K20" s="68">
        <f>SUM(K7:L19)</f>
        <v>65641.929999999993</v>
      </c>
      <c r="L20" s="69"/>
      <c r="M20" s="68">
        <f>SUM(M7:N19)</f>
        <v>100</v>
      </c>
      <c r="N20" s="69"/>
    </row>
  </sheetData>
  <sheetProtection formatCells="0" formatColumns="0" formatRows="0" insertColumns="0" insertRows="0" insertHyperlinks="0" deleteColumns="0" deleteRows="0" sort="0" autoFilter="0" pivotTables="0"/>
  <mergeCells count="58">
    <mergeCell ref="A1:N1"/>
    <mergeCell ref="A2:N2"/>
    <mergeCell ref="A3:N3"/>
    <mergeCell ref="C6:F6"/>
    <mergeCell ref="I6:J6"/>
    <mergeCell ref="K6:L6"/>
    <mergeCell ref="M6:N6"/>
    <mergeCell ref="C7:F7"/>
    <mergeCell ref="I7:J7"/>
    <mergeCell ref="K7:L7"/>
    <mergeCell ref="M7:N7"/>
    <mergeCell ref="C8:F8"/>
    <mergeCell ref="I8:J8"/>
    <mergeCell ref="K8:L8"/>
    <mergeCell ref="M8:N8"/>
    <mergeCell ref="C9:F9"/>
    <mergeCell ref="I9:J9"/>
    <mergeCell ref="K9:L9"/>
    <mergeCell ref="M9:N9"/>
    <mergeCell ref="C10:F10"/>
    <mergeCell ref="I10:J10"/>
    <mergeCell ref="K10:L10"/>
    <mergeCell ref="M10:N10"/>
    <mergeCell ref="C11:F11"/>
    <mergeCell ref="I11:J11"/>
    <mergeCell ref="K11:L11"/>
    <mergeCell ref="M11:N11"/>
    <mergeCell ref="C12:F12"/>
    <mergeCell ref="I12:J12"/>
    <mergeCell ref="K12:L12"/>
    <mergeCell ref="M12:N12"/>
    <mergeCell ref="C13:F13"/>
    <mergeCell ref="I13:J13"/>
    <mergeCell ref="K13:L13"/>
    <mergeCell ref="M13:N13"/>
    <mergeCell ref="C14:F14"/>
    <mergeCell ref="I14:J14"/>
    <mergeCell ref="K14:L14"/>
    <mergeCell ref="M14:N14"/>
    <mergeCell ref="C15:F15"/>
    <mergeCell ref="I15:J15"/>
    <mergeCell ref="K15:L15"/>
    <mergeCell ref="M15:N15"/>
    <mergeCell ref="C16:F16"/>
    <mergeCell ref="I16:J16"/>
    <mergeCell ref="K16:L16"/>
    <mergeCell ref="M16:N16"/>
    <mergeCell ref="A20:J20"/>
    <mergeCell ref="K20:L20"/>
    <mergeCell ref="M20:N20"/>
    <mergeCell ref="C17:F17"/>
    <mergeCell ref="I17:J17"/>
    <mergeCell ref="K17:L17"/>
    <mergeCell ref="M17:N17"/>
    <mergeCell ref="C18:F18"/>
    <mergeCell ref="I18:J18"/>
    <mergeCell ref="K18:L18"/>
    <mergeCell ref="M18:N18"/>
  </mergeCells>
  <pageMargins left="0.7" right="0.7" top="0.75" bottom="0.75" header="0.3" footer="0.3"/>
  <pageSetup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view="pageBreakPreview" zoomScale="70" zoomScaleNormal="100" zoomScaleSheetLayoutView="70" workbookViewId="0">
      <selection activeCell="H9" sqref="H9"/>
    </sheetView>
  </sheetViews>
  <sheetFormatPr defaultRowHeight="15" x14ac:dyDescent="0.25"/>
  <cols>
    <col min="1" max="1" width="7.85546875" customWidth="1"/>
    <col min="2" max="2" width="14" customWidth="1"/>
    <col min="8" max="8" width="16.7109375" customWidth="1"/>
  </cols>
  <sheetData>
    <row r="1" spans="1:14" ht="15" customHeight="1" x14ac:dyDescent="0.25">
      <c r="A1" s="49" t="str">
        <f>CIDADE</f>
        <v>MUNICÍPIO DE SAO RAIMUNDO NONATO - PI</v>
      </c>
      <c r="B1" s="49"/>
      <c r="C1" s="49"/>
      <c r="D1" s="49"/>
      <c r="E1" s="49"/>
      <c r="F1" s="49"/>
      <c r="G1" s="49"/>
      <c r="H1" s="49"/>
      <c r="I1" s="49"/>
      <c r="J1" s="49"/>
      <c r="K1" s="49"/>
      <c r="L1" s="49"/>
      <c r="M1" s="49"/>
      <c r="N1" s="49"/>
    </row>
    <row r="2" spans="1:14" ht="24.75" customHeight="1" x14ac:dyDescent="0.25">
      <c r="A2" s="49" t="str">
        <f>OBRA</f>
        <v>ESPAÇO DA CIDADANIA</v>
      </c>
      <c r="B2" s="49"/>
      <c r="C2" s="49"/>
      <c r="D2" s="49"/>
      <c r="E2" s="49"/>
      <c r="F2" s="49"/>
      <c r="G2" s="49"/>
      <c r="H2" s="49"/>
      <c r="I2" s="49"/>
      <c r="J2" s="49"/>
      <c r="K2" s="49"/>
      <c r="L2" s="49"/>
      <c r="M2" s="49"/>
      <c r="N2" s="49"/>
    </row>
    <row r="3" spans="1:14" ht="15" customHeight="1" x14ac:dyDescent="0.25">
      <c r="A3" s="49" t="s">
        <v>424</v>
      </c>
      <c r="B3" s="49"/>
      <c r="C3" s="49"/>
      <c r="D3" s="49"/>
      <c r="E3" s="49"/>
      <c r="F3" s="49"/>
      <c r="G3" s="49"/>
      <c r="H3" s="49"/>
      <c r="I3" s="49"/>
      <c r="J3" s="49"/>
      <c r="K3" s="49"/>
      <c r="L3" s="49"/>
      <c r="M3" s="49"/>
      <c r="N3" s="49"/>
    </row>
    <row r="4" spans="1:14" ht="30" x14ac:dyDescent="0.25">
      <c r="A4" s="2" t="s">
        <v>3</v>
      </c>
      <c r="B4" s="4" t="str">
        <f>FONTE&amp;ONERA</f>
        <v>SINAPI PI-12/2021, SEINFRA 27, ORSE-11/2021, SEM DESONERAÇÃO</v>
      </c>
      <c r="C4" s="2"/>
      <c r="D4" s="2"/>
      <c r="E4" s="2"/>
      <c r="F4" s="3"/>
      <c r="G4" s="3"/>
      <c r="H4" s="2" t="s">
        <v>6</v>
      </c>
      <c r="I4" s="5">
        <f>LEI</f>
        <v>111.86</v>
      </c>
      <c r="J4" s="3"/>
      <c r="K4" s="3"/>
      <c r="L4" s="3"/>
      <c r="M4" s="2" t="s">
        <v>7</v>
      </c>
      <c r="N4" s="5">
        <f>BDI</f>
        <v>20.34</v>
      </c>
    </row>
    <row r="5" spans="1:14" ht="15" customHeight="1" x14ac:dyDescent="0.25">
      <c r="A5" s="10" t="s">
        <v>20</v>
      </c>
      <c r="B5" s="10" t="s">
        <v>31</v>
      </c>
      <c r="C5" s="79" t="s">
        <v>8</v>
      </c>
      <c r="D5" s="80"/>
      <c r="E5" s="80"/>
      <c r="F5" s="80"/>
      <c r="G5" s="6" t="s">
        <v>32</v>
      </c>
      <c r="H5" s="46" t="s">
        <v>33</v>
      </c>
      <c r="I5" s="47"/>
      <c r="J5" s="47"/>
      <c r="K5" s="47"/>
      <c r="L5" s="47"/>
      <c r="M5" s="47"/>
      <c r="N5" s="48"/>
    </row>
    <row r="6" spans="1:14" ht="75" customHeight="1" x14ac:dyDescent="0.25">
      <c r="A6" s="15">
        <v>1</v>
      </c>
      <c r="B6" s="37">
        <f>ABCS!B7</f>
        <v>94213</v>
      </c>
      <c r="C6" s="74" t="s">
        <v>425</v>
      </c>
      <c r="D6" s="74"/>
      <c r="E6" s="74"/>
      <c r="F6" s="74"/>
      <c r="G6" s="37" t="str">
        <f>[1]ABCS!G7</f>
        <v>M2</v>
      </c>
      <c r="H6" s="90">
        <f>ABCS!H7*0.5</f>
        <v>128.1</v>
      </c>
      <c r="I6" s="91"/>
      <c r="J6" s="91"/>
      <c r="K6" s="91"/>
      <c r="L6" s="91"/>
      <c r="M6" s="91"/>
      <c r="N6" s="92"/>
    </row>
    <row r="7" spans="1:14" ht="63.75" customHeight="1" x14ac:dyDescent="0.25">
      <c r="A7" s="15">
        <v>2</v>
      </c>
      <c r="B7" s="37">
        <f>ABCS!B8</f>
        <v>88489</v>
      </c>
      <c r="C7" s="74" t="s">
        <v>426</v>
      </c>
      <c r="D7" s="74"/>
      <c r="E7" s="74"/>
      <c r="F7" s="74"/>
      <c r="G7" s="37" t="str">
        <f>[1]ABCS!G8</f>
        <v>M2</v>
      </c>
      <c r="H7" s="90">
        <f>ABCS!H8*0.5</f>
        <v>476.84500000000003</v>
      </c>
      <c r="I7" s="91"/>
      <c r="J7" s="91"/>
      <c r="K7" s="91"/>
      <c r="L7" s="91"/>
      <c r="M7" s="91"/>
      <c r="N7" s="92"/>
    </row>
    <row r="8" spans="1:14" ht="115.5" customHeight="1" x14ac:dyDescent="0.25">
      <c r="A8" s="15">
        <v>3</v>
      </c>
      <c r="B8" s="37" t="str">
        <f>ABCS!B9</f>
        <v>73953/04</v>
      </c>
      <c r="C8" s="93" t="s">
        <v>427</v>
      </c>
      <c r="D8" s="93"/>
      <c r="E8" s="93"/>
      <c r="F8" s="93"/>
      <c r="G8" s="37" t="str">
        <f>[1]ABCS!G9</f>
        <v>M2</v>
      </c>
      <c r="H8" s="90">
        <f>ABCS!H9*0.5</f>
        <v>25</v>
      </c>
      <c r="I8" s="91"/>
      <c r="J8" s="91"/>
      <c r="K8" s="91"/>
      <c r="L8" s="91"/>
      <c r="M8" s="91"/>
      <c r="N8" s="92"/>
    </row>
  </sheetData>
  <mergeCells count="11">
    <mergeCell ref="C7:F7"/>
    <mergeCell ref="H7:N7"/>
    <mergeCell ref="C8:F8"/>
    <mergeCell ref="H8:N8"/>
    <mergeCell ref="A1:N1"/>
    <mergeCell ref="A2:N2"/>
    <mergeCell ref="A3:N3"/>
    <mergeCell ref="C5:F5"/>
    <mergeCell ref="H5:N5"/>
    <mergeCell ref="C6:F6"/>
    <mergeCell ref="H6:N6"/>
  </mergeCells>
  <pageMargins left="0.511811024" right="0.511811024" top="0.78740157499999996" bottom="0.78740157499999996" header="0.31496062000000002" footer="0.31496062000000002"/>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view="pageBreakPreview" zoomScale="60" zoomScaleNormal="100" workbookViewId="0">
      <selection activeCell="A12" activeCellId="7" sqref="A17:B17 A6:XFD6 A7:XFD7 A8:XFD8 A9:XFD9 A10:XFD10 A11:XFD11 A12:XFD12"/>
    </sheetView>
  </sheetViews>
  <sheetFormatPr defaultRowHeight="15" customHeight="1" x14ac:dyDescent="0.25"/>
  <cols>
    <col min="1" max="1" width="12" style="1" customWidth="1"/>
    <col min="2" max="2" width="28.7109375" style="1" customWidth="1"/>
    <col min="3" max="3" width="4" style="1" customWidth="1"/>
    <col min="4" max="4" width="8" style="1" customWidth="1"/>
    <col min="5" max="6" width="21" style="1" customWidth="1"/>
    <col min="7" max="7" width="16" style="1" customWidth="1"/>
    <col min="8" max="8" width="8" style="1" customWidth="1"/>
    <col min="9" max="9" width="17.140625" style="1" customWidth="1"/>
    <col min="10" max="10" width="9.5703125" style="1" customWidth="1"/>
    <col min="11" max="11" width="28.140625" style="1" customWidth="1"/>
    <col min="12" max="12" width="27.5703125" style="1" customWidth="1"/>
    <col min="13" max="13" width="28.5703125" style="1" customWidth="1"/>
    <col min="14" max="14" width="8" style="1" customWidth="1"/>
    <col min="15" max="16384" width="9.140625" style="1"/>
  </cols>
  <sheetData>
    <row r="1" spans="1:14" ht="15" customHeight="1" x14ac:dyDescent="0.25">
      <c r="A1" s="49" t="str">
        <f>CIDADE</f>
        <v>MUNICÍPIO DE SAO RAIMUNDO NONATO - PI</v>
      </c>
      <c r="B1" s="49"/>
      <c r="C1" s="49"/>
      <c r="D1" s="49"/>
      <c r="E1" s="49"/>
      <c r="F1" s="49"/>
      <c r="G1" s="49"/>
      <c r="H1" s="49"/>
      <c r="I1" s="49"/>
      <c r="J1" s="49"/>
      <c r="K1" s="49"/>
    </row>
    <row r="2" spans="1:14" ht="15" customHeight="1" x14ac:dyDescent="0.25">
      <c r="A2" s="49" t="str">
        <f>OBRA</f>
        <v>ESPAÇO DA CIDADANIA</v>
      </c>
      <c r="B2" s="49"/>
      <c r="C2" s="49"/>
      <c r="D2" s="49"/>
      <c r="E2" s="49"/>
      <c r="F2" s="49"/>
      <c r="G2" s="49"/>
      <c r="H2" s="49"/>
      <c r="I2" s="49"/>
      <c r="J2" s="49"/>
      <c r="K2" s="49"/>
    </row>
    <row r="3" spans="1:14" ht="15" customHeight="1" x14ac:dyDescent="0.25">
      <c r="A3" s="49" t="s">
        <v>200</v>
      </c>
      <c r="B3" s="49"/>
      <c r="C3" s="49"/>
      <c r="D3" s="49"/>
      <c r="E3" s="49"/>
      <c r="F3" s="49"/>
      <c r="G3" s="49"/>
      <c r="H3" s="49"/>
      <c r="I3" s="49"/>
      <c r="J3" s="49"/>
      <c r="K3" s="49"/>
    </row>
    <row r="4" spans="1:14" ht="15" customHeight="1" x14ac:dyDescent="0.25">
      <c r="A4" s="3"/>
      <c r="B4" s="3"/>
      <c r="C4" s="3"/>
      <c r="D4" s="3"/>
      <c r="E4" s="3"/>
      <c r="F4" s="3"/>
      <c r="G4" s="3"/>
      <c r="H4" s="3"/>
      <c r="I4" s="3"/>
      <c r="J4" s="3"/>
      <c r="K4" s="3"/>
    </row>
    <row r="5" spans="1:14" ht="15" customHeight="1" x14ac:dyDescent="0.25">
      <c r="A5" s="2" t="s">
        <v>3</v>
      </c>
      <c r="B5" s="4" t="str">
        <f>FONTE&amp;ONERA</f>
        <v>SINAPI PI-12/2021, SEINFRA 27, ORSE-11/2021, SEM DESONERAÇÃO</v>
      </c>
      <c r="C5" s="2"/>
      <c r="D5" s="2"/>
      <c r="E5" s="2"/>
      <c r="F5" s="3"/>
      <c r="G5" s="2" t="s">
        <v>6</v>
      </c>
      <c r="H5" s="5">
        <f>LEI</f>
        <v>111.86</v>
      </c>
      <c r="I5" s="3"/>
      <c r="J5" s="2" t="s">
        <v>7</v>
      </c>
      <c r="K5" s="5">
        <f>BDI</f>
        <v>20.34</v>
      </c>
    </row>
    <row r="6" spans="1:14" ht="15" customHeight="1" x14ac:dyDescent="0.25">
      <c r="A6" s="46" t="s">
        <v>20</v>
      </c>
      <c r="B6" s="48"/>
      <c r="C6" s="46" t="s">
        <v>8</v>
      </c>
      <c r="D6" s="47"/>
      <c r="E6" s="47"/>
      <c r="F6" s="47"/>
      <c r="G6" s="47"/>
      <c r="H6" s="47"/>
      <c r="I6" s="48"/>
      <c r="J6" s="46" t="s">
        <v>21</v>
      </c>
      <c r="K6" s="48"/>
      <c r="L6" s="33" t="s">
        <v>201</v>
      </c>
    </row>
    <row r="7" spans="1:14" ht="15" customHeight="1" x14ac:dyDescent="0.25">
      <c r="A7" s="107" t="s">
        <v>202</v>
      </c>
      <c r="B7" s="108"/>
      <c r="C7" s="109" t="s">
        <v>203</v>
      </c>
      <c r="D7" s="110"/>
      <c r="E7" s="110"/>
      <c r="F7" s="110"/>
      <c r="G7" s="110"/>
      <c r="H7" s="110"/>
      <c r="I7" s="111"/>
      <c r="J7" s="112">
        <v>0.03</v>
      </c>
      <c r="K7" s="113"/>
      <c r="L7" s="33" t="s">
        <v>204</v>
      </c>
    </row>
    <row r="8" spans="1:14" ht="15" customHeight="1" x14ac:dyDescent="0.25">
      <c r="A8" s="107" t="s">
        <v>205</v>
      </c>
      <c r="B8" s="108"/>
      <c r="C8" s="109" t="s">
        <v>206</v>
      </c>
      <c r="D8" s="110"/>
      <c r="E8" s="110"/>
      <c r="F8" s="110"/>
      <c r="G8" s="110"/>
      <c r="H8" s="110"/>
      <c r="I8" s="111"/>
      <c r="J8" s="112">
        <v>8.0000000000000002E-3</v>
      </c>
      <c r="K8" s="113"/>
      <c r="L8" s="33" t="s">
        <v>207</v>
      </c>
    </row>
    <row r="9" spans="1:14" ht="15" customHeight="1" x14ac:dyDescent="0.25">
      <c r="A9" s="107" t="s">
        <v>208</v>
      </c>
      <c r="B9" s="108"/>
      <c r="C9" s="109" t="s">
        <v>209</v>
      </c>
      <c r="D9" s="110"/>
      <c r="E9" s="110"/>
      <c r="F9" s="110"/>
      <c r="G9" s="110"/>
      <c r="H9" s="110"/>
      <c r="I9" s="111"/>
      <c r="J9" s="112">
        <v>9.7000000000000003E-3</v>
      </c>
      <c r="K9" s="113"/>
      <c r="L9" s="33" t="s">
        <v>210</v>
      </c>
    </row>
    <row r="10" spans="1:14" ht="15" customHeight="1" x14ac:dyDescent="0.25">
      <c r="A10" s="107" t="s">
        <v>211</v>
      </c>
      <c r="B10" s="108"/>
      <c r="C10" s="109" t="s">
        <v>212</v>
      </c>
      <c r="D10" s="110"/>
      <c r="E10" s="110"/>
      <c r="F10" s="110"/>
      <c r="G10" s="110"/>
      <c r="H10" s="110"/>
      <c r="I10" s="111"/>
      <c r="J10" s="112">
        <v>5.8999999999999999E-3</v>
      </c>
      <c r="K10" s="113"/>
      <c r="L10" s="33" t="s">
        <v>213</v>
      </c>
    </row>
    <row r="11" spans="1:14" ht="15" customHeight="1" x14ac:dyDescent="0.25">
      <c r="A11" s="107" t="s">
        <v>214</v>
      </c>
      <c r="B11" s="108"/>
      <c r="C11" s="109" t="s">
        <v>215</v>
      </c>
      <c r="D11" s="110"/>
      <c r="E11" s="110"/>
      <c r="F11" s="110"/>
      <c r="G11" s="110"/>
      <c r="H11" s="110"/>
      <c r="I11" s="111"/>
      <c r="J11" s="112">
        <v>6.5939999999999999E-2</v>
      </c>
      <c r="K11" s="113"/>
      <c r="L11" s="33" t="s">
        <v>216</v>
      </c>
    </row>
    <row r="12" spans="1:14" ht="15" customHeight="1" x14ac:dyDescent="0.25">
      <c r="A12" s="107" t="s">
        <v>217</v>
      </c>
      <c r="B12" s="108"/>
      <c r="C12" s="109" t="s">
        <v>218</v>
      </c>
      <c r="D12" s="110"/>
      <c r="E12" s="110"/>
      <c r="F12" s="110"/>
      <c r="G12" s="110"/>
      <c r="H12" s="110"/>
      <c r="I12" s="111"/>
      <c r="J12" s="112">
        <f>SUM(J13:K16)</f>
        <v>6.6500000000000004E-2</v>
      </c>
      <c r="K12" s="113"/>
      <c r="L12" s="33" t="s">
        <v>219</v>
      </c>
    </row>
    <row r="13" spans="1:14" ht="15" customHeight="1" x14ac:dyDescent="0.25">
      <c r="A13" s="107" t="s">
        <v>220</v>
      </c>
      <c r="B13" s="108"/>
      <c r="C13" s="109" t="s">
        <v>221</v>
      </c>
      <c r="D13" s="110"/>
      <c r="E13" s="110"/>
      <c r="F13" s="110"/>
      <c r="G13" s="110"/>
      <c r="H13" s="110"/>
      <c r="I13" s="111"/>
      <c r="J13" s="112">
        <v>6.4999999999999997E-3</v>
      </c>
      <c r="K13" s="113"/>
      <c r="L13" s="33" t="s">
        <v>219</v>
      </c>
    </row>
    <row r="14" spans="1:14" ht="15" customHeight="1" x14ac:dyDescent="0.25">
      <c r="A14" s="107" t="s">
        <v>222</v>
      </c>
      <c r="B14" s="108"/>
      <c r="C14" s="109" t="s">
        <v>223</v>
      </c>
      <c r="D14" s="110"/>
      <c r="E14" s="110"/>
      <c r="F14" s="110"/>
      <c r="G14" s="110"/>
      <c r="H14" s="110"/>
      <c r="I14" s="111"/>
      <c r="J14" s="112">
        <v>0.03</v>
      </c>
      <c r="K14" s="113"/>
      <c r="L14" s="33" t="s">
        <v>219</v>
      </c>
    </row>
    <row r="15" spans="1:14" ht="15" customHeight="1" x14ac:dyDescent="0.25">
      <c r="A15" s="107" t="s">
        <v>224</v>
      </c>
      <c r="B15" s="108"/>
      <c r="C15" s="109" t="str">
        <f>"IMPOSTO SOBRE SERVIÇOS DE QUALQUER NATUREZA ("&amp;N15*100&amp;"% x "&amp;N16*100&amp;"%)"</f>
        <v>IMPOSTO SOBRE SERVIÇOS DE QUALQUER NATUREZA (5% x 60%)</v>
      </c>
      <c r="D15" s="110"/>
      <c r="E15" s="110"/>
      <c r="F15" s="110"/>
      <c r="G15" s="110"/>
      <c r="H15" s="110"/>
      <c r="I15" s="111"/>
      <c r="J15" s="112">
        <f>ROUND(N15*N16,4)</f>
        <v>0.03</v>
      </c>
      <c r="K15" s="113"/>
      <c r="L15" s="33" t="s">
        <v>225</v>
      </c>
      <c r="M15" s="35" t="s">
        <v>226</v>
      </c>
      <c r="N15" s="36">
        <v>0.05</v>
      </c>
    </row>
    <row r="16" spans="1:14" ht="15" customHeight="1" x14ac:dyDescent="0.25">
      <c r="A16" s="107" t="s">
        <v>227</v>
      </c>
      <c r="B16" s="108"/>
      <c r="C16" s="109" t="s">
        <v>228</v>
      </c>
      <c r="D16" s="110"/>
      <c r="E16" s="110"/>
      <c r="F16" s="110"/>
      <c r="G16" s="110"/>
      <c r="H16" s="110"/>
      <c r="I16" s="111"/>
      <c r="J16" s="112">
        <f>IF(ONERA="COM DESONERAÇÃO",0.045,0)</f>
        <v>0</v>
      </c>
      <c r="K16" s="113"/>
      <c r="L16" s="33" t="s">
        <v>219</v>
      </c>
      <c r="M16" s="35" t="s">
        <v>229</v>
      </c>
      <c r="N16" s="36">
        <v>0.6</v>
      </c>
    </row>
    <row r="17" spans="1:12" ht="15" customHeight="1" x14ac:dyDescent="0.25">
      <c r="A17" s="46" t="s">
        <v>230</v>
      </c>
      <c r="B17" s="48"/>
      <c r="C17" s="46" t="s">
        <v>231</v>
      </c>
      <c r="D17" s="47"/>
      <c r="E17" s="47"/>
      <c r="F17" s="47"/>
      <c r="G17" s="47"/>
      <c r="H17" s="47"/>
      <c r="I17" s="48"/>
      <c r="J17" s="103">
        <f>ROUND((((1+J7+J8+J9)*(1+J10)*(1+J11))/(1-J12))-1,4)</f>
        <v>0.2034</v>
      </c>
      <c r="K17" s="104"/>
      <c r="L17" s="33" t="s">
        <v>232</v>
      </c>
    </row>
    <row r="18" spans="1:12" ht="15" customHeight="1" x14ac:dyDescent="0.25">
      <c r="A18" s="3"/>
      <c r="B18" s="3"/>
      <c r="C18" s="3"/>
      <c r="D18" s="3"/>
      <c r="E18" s="3"/>
      <c r="F18" s="3"/>
      <c r="G18" s="3"/>
      <c r="H18" s="3"/>
      <c r="I18" s="3"/>
      <c r="J18" s="3"/>
      <c r="K18" s="3"/>
    </row>
    <row r="19" spans="1:12" ht="50.1" customHeight="1" x14ac:dyDescent="0.25">
      <c r="A19" s="105" t="s">
        <v>233</v>
      </c>
      <c r="B19" s="105"/>
      <c r="C19" s="105"/>
      <c r="D19" s="105"/>
      <c r="E19" s="105"/>
      <c r="F19" s="105"/>
      <c r="G19" s="105"/>
      <c r="H19" s="105"/>
      <c r="I19" s="105"/>
      <c r="J19" s="105"/>
      <c r="K19" s="105"/>
    </row>
    <row r="20" spans="1:12" ht="15" customHeight="1" x14ac:dyDescent="0.25">
      <c r="A20" s="106" t="s">
        <v>234</v>
      </c>
      <c r="B20" s="106"/>
      <c r="C20" s="106"/>
      <c r="D20" s="106"/>
      <c r="E20" s="106"/>
      <c r="F20" s="106"/>
      <c r="G20" s="106"/>
      <c r="H20" s="106"/>
      <c r="I20" s="106"/>
      <c r="J20" s="106"/>
      <c r="K20" s="106"/>
    </row>
    <row r="21" spans="1:12" ht="15" customHeight="1" x14ac:dyDescent="0.25">
      <c r="A21" s="46" t="s">
        <v>235</v>
      </c>
      <c r="B21" s="47"/>
      <c r="C21" s="47"/>
      <c r="D21" s="47"/>
      <c r="E21" s="47"/>
      <c r="F21" s="47"/>
      <c r="G21" s="47"/>
      <c r="H21" s="47"/>
      <c r="I21" s="47"/>
      <c r="J21" s="47"/>
      <c r="K21" s="48"/>
    </row>
    <row r="22" spans="1:12" ht="15" customHeight="1" x14ac:dyDescent="0.25">
      <c r="A22" s="94" t="s">
        <v>236</v>
      </c>
      <c r="B22" s="95"/>
      <c r="C22" s="95"/>
      <c r="D22" s="95"/>
      <c r="E22" s="95"/>
      <c r="F22" s="95"/>
      <c r="G22" s="95"/>
      <c r="H22" s="95"/>
      <c r="I22" s="95"/>
      <c r="J22" s="95"/>
      <c r="K22" s="96"/>
    </row>
    <row r="23" spans="1:12" ht="15" customHeight="1" x14ac:dyDescent="0.25">
      <c r="A23" s="97"/>
      <c r="B23" s="98"/>
      <c r="C23" s="98"/>
      <c r="D23" s="98"/>
      <c r="E23" s="98"/>
      <c r="F23" s="98"/>
      <c r="G23" s="98"/>
      <c r="H23" s="98"/>
      <c r="I23" s="98"/>
      <c r="J23" s="98"/>
      <c r="K23" s="99"/>
    </row>
    <row r="24" spans="1:12" ht="15" customHeight="1" x14ac:dyDescent="0.25">
      <c r="A24" s="100"/>
      <c r="B24" s="101"/>
      <c r="C24" s="101"/>
      <c r="D24" s="101"/>
      <c r="E24" s="101"/>
      <c r="F24" s="101"/>
      <c r="G24" s="101"/>
      <c r="H24" s="101"/>
      <c r="I24" s="101"/>
      <c r="J24" s="101"/>
      <c r="K24" s="102"/>
    </row>
    <row r="25" spans="1:12" ht="15" customHeight="1" x14ac:dyDescent="0.25">
      <c r="A25" s="94" t="s">
        <v>237</v>
      </c>
      <c r="B25" s="95"/>
      <c r="C25" s="95"/>
      <c r="D25" s="95"/>
      <c r="E25" s="95"/>
      <c r="F25" s="95"/>
      <c r="G25" s="95"/>
      <c r="H25" s="95"/>
      <c r="I25" s="95"/>
      <c r="J25" s="95"/>
      <c r="K25" s="96"/>
    </row>
    <row r="26" spans="1:12" ht="15" customHeight="1" x14ac:dyDescent="0.25">
      <c r="A26" s="97"/>
      <c r="B26" s="98"/>
      <c r="C26" s="98"/>
      <c r="D26" s="98"/>
      <c r="E26" s="98"/>
      <c r="F26" s="98"/>
      <c r="G26" s="98"/>
      <c r="H26" s="98"/>
      <c r="I26" s="98"/>
      <c r="J26" s="98"/>
      <c r="K26" s="99"/>
    </row>
    <row r="27" spans="1:12" ht="15" customHeight="1" x14ac:dyDescent="0.25">
      <c r="A27" s="100"/>
      <c r="B27" s="101"/>
      <c r="C27" s="101"/>
      <c r="D27" s="101"/>
      <c r="E27" s="101"/>
      <c r="F27" s="101"/>
      <c r="G27" s="101"/>
      <c r="H27" s="101"/>
      <c r="I27" s="101"/>
      <c r="J27" s="101"/>
      <c r="K27" s="102"/>
    </row>
    <row r="28" spans="1:12" ht="15" customHeight="1" x14ac:dyDescent="0.25">
      <c r="A28" s="94" t="s">
        <v>238</v>
      </c>
      <c r="B28" s="95"/>
      <c r="C28" s="95"/>
      <c r="D28" s="95"/>
      <c r="E28" s="95"/>
      <c r="F28" s="95"/>
      <c r="G28" s="95"/>
      <c r="H28" s="95"/>
      <c r="I28" s="95"/>
      <c r="J28" s="95"/>
      <c r="K28" s="96"/>
    </row>
    <row r="29" spans="1:12" ht="15" customHeight="1" x14ac:dyDescent="0.25">
      <c r="A29" s="97"/>
      <c r="B29" s="98"/>
      <c r="C29" s="98"/>
      <c r="D29" s="98"/>
      <c r="E29" s="98"/>
      <c r="F29" s="98"/>
      <c r="G29" s="98"/>
      <c r="H29" s="98"/>
      <c r="I29" s="98"/>
      <c r="J29" s="98"/>
      <c r="K29" s="99"/>
    </row>
    <row r="30" spans="1:12" ht="15" customHeight="1" x14ac:dyDescent="0.25">
      <c r="A30" s="97"/>
      <c r="B30" s="98"/>
      <c r="C30" s="98"/>
      <c r="D30" s="98"/>
      <c r="E30" s="98"/>
      <c r="F30" s="98"/>
      <c r="G30" s="98"/>
      <c r="H30" s="98"/>
      <c r="I30" s="98"/>
      <c r="J30" s="98"/>
      <c r="K30" s="99"/>
    </row>
    <row r="31" spans="1:12" ht="15" customHeight="1" x14ac:dyDescent="0.25">
      <c r="A31" s="97"/>
      <c r="B31" s="98"/>
      <c r="C31" s="98"/>
      <c r="D31" s="98"/>
      <c r="E31" s="98"/>
      <c r="F31" s="98"/>
      <c r="G31" s="98"/>
      <c r="H31" s="98"/>
      <c r="I31" s="98"/>
      <c r="J31" s="98"/>
      <c r="K31" s="99"/>
    </row>
    <row r="32" spans="1:12" ht="15" customHeight="1" x14ac:dyDescent="0.25">
      <c r="A32" s="97"/>
      <c r="B32" s="98"/>
      <c r="C32" s="98"/>
      <c r="D32" s="98"/>
      <c r="E32" s="98"/>
      <c r="F32" s="98"/>
      <c r="G32" s="98"/>
      <c r="H32" s="98"/>
      <c r="I32" s="98"/>
      <c r="J32" s="98"/>
      <c r="K32" s="99"/>
    </row>
    <row r="33" spans="1:11" ht="15" customHeight="1" x14ac:dyDescent="0.25">
      <c r="A33" s="97"/>
      <c r="B33" s="98"/>
      <c r="C33" s="98"/>
      <c r="D33" s="98"/>
      <c r="E33" s="98"/>
      <c r="F33" s="98"/>
      <c r="G33" s="98"/>
      <c r="H33" s="98"/>
      <c r="I33" s="98"/>
      <c r="J33" s="98"/>
      <c r="K33" s="99"/>
    </row>
    <row r="34" spans="1:11" ht="15" customHeight="1" x14ac:dyDescent="0.25">
      <c r="A34" s="97"/>
      <c r="B34" s="98"/>
      <c r="C34" s="98"/>
      <c r="D34" s="98"/>
      <c r="E34" s="98"/>
      <c r="F34" s="98"/>
      <c r="G34" s="98"/>
      <c r="H34" s="98"/>
      <c r="I34" s="98"/>
      <c r="J34" s="98"/>
      <c r="K34" s="99"/>
    </row>
    <row r="35" spans="1:11" ht="15" customHeight="1" x14ac:dyDescent="0.25">
      <c r="A35" s="97"/>
      <c r="B35" s="98"/>
      <c r="C35" s="98"/>
      <c r="D35" s="98"/>
      <c r="E35" s="98"/>
      <c r="F35" s="98"/>
      <c r="G35" s="98"/>
      <c r="H35" s="98"/>
      <c r="I35" s="98"/>
      <c r="J35" s="98"/>
      <c r="K35" s="99"/>
    </row>
    <row r="36" spans="1:11" ht="15" customHeight="1" x14ac:dyDescent="0.25">
      <c r="A36" s="97"/>
      <c r="B36" s="98"/>
      <c r="C36" s="98"/>
      <c r="D36" s="98"/>
      <c r="E36" s="98"/>
      <c r="F36" s="98"/>
      <c r="G36" s="98"/>
      <c r="H36" s="98"/>
      <c r="I36" s="98"/>
      <c r="J36" s="98"/>
      <c r="K36" s="99"/>
    </row>
    <row r="37" spans="1:11" ht="15" customHeight="1" x14ac:dyDescent="0.25">
      <c r="A37" s="97"/>
      <c r="B37" s="98"/>
      <c r="C37" s="98"/>
      <c r="D37" s="98"/>
      <c r="E37" s="98"/>
      <c r="F37" s="98"/>
      <c r="G37" s="98"/>
      <c r="H37" s="98"/>
      <c r="I37" s="98"/>
      <c r="J37" s="98"/>
      <c r="K37" s="99"/>
    </row>
    <row r="38" spans="1:11" ht="15" customHeight="1" x14ac:dyDescent="0.25">
      <c r="A38" s="100"/>
      <c r="B38" s="101"/>
      <c r="C38" s="101"/>
      <c r="D38" s="101"/>
      <c r="E38" s="101"/>
      <c r="F38" s="101"/>
      <c r="G38" s="101"/>
      <c r="H38" s="101"/>
      <c r="I38" s="101"/>
      <c r="J38" s="101"/>
      <c r="K38" s="102"/>
    </row>
  </sheetData>
  <sheetProtection formatCells="0" formatColumns="0" formatRows="0" insertColumns="0" insertRows="0" insertHyperlinks="0" deleteColumns="0" deleteRows="0" sort="0" autoFilter="0" pivotTables="0"/>
  <mergeCells count="45">
    <mergeCell ref="A1:K1"/>
    <mergeCell ref="A2:K2"/>
    <mergeCell ref="A3:K3"/>
    <mergeCell ref="A6:B6"/>
    <mergeCell ref="C6:I6"/>
    <mergeCell ref="J6:K6"/>
    <mergeCell ref="A7:B7"/>
    <mergeCell ref="C7:I7"/>
    <mergeCell ref="J7:K7"/>
    <mergeCell ref="A8:B8"/>
    <mergeCell ref="C8:I8"/>
    <mergeCell ref="J8:K8"/>
    <mergeCell ref="A9:B9"/>
    <mergeCell ref="C9:I9"/>
    <mergeCell ref="J9:K9"/>
    <mergeCell ref="A10:B10"/>
    <mergeCell ref="C10:I10"/>
    <mergeCell ref="J10:K10"/>
    <mergeCell ref="A11:B11"/>
    <mergeCell ref="C11:I11"/>
    <mergeCell ref="J11:K11"/>
    <mergeCell ref="A12:B12"/>
    <mergeCell ref="C12:I12"/>
    <mergeCell ref="J12:K12"/>
    <mergeCell ref="A13:B13"/>
    <mergeCell ref="C13:I13"/>
    <mergeCell ref="J13:K13"/>
    <mergeCell ref="A14:B14"/>
    <mergeCell ref="C14:I14"/>
    <mergeCell ref="J14:K14"/>
    <mergeCell ref="A15:B15"/>
    <mergeCell ref="C15:I15"/>
    <mergeCell ref="J15:K15"/>
    <mergeCell ref="A16:B16"/>
    <mergeCell ref="C16:I16"/>
    <mergeCell ref="J16:K16"/>
    <mergeCell ref="A22:K24"/>
    <mergeCell ref="A25:K27"/>
    <mergeCell ref="A28:K38"/>
    <mergeCell ref="A17:B17"/>
    <mergeCell ref="C17:I17"/>
    <mergeCell ref="J17:K17"/>
    <mergeCell ref="A19:K19"/>
    <mergeCell ref="A20:K20"/>
    <mergeCell ref="A21:K21"/>
  </mergeCell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view="pageBreakPreview" zoomScale="60" zoomScaleNormal="100" workbookViewId="0">
      <selection activeCell="N37" sqref="N37"/>
    </sheetView>
  </sheetViews>
  <sheetFormatPr defaultRowHeight="17.100000000000001" customHeight="1" x14ac:dyDescent="0.25"/>
  <cols>
    <col min="1" max="1" width="12" style="2" customWidth="1"/>
    <col min="2" max="2" width="8" style="2" customWidth="1"/>
    <col min="3" max="3" width="4" style="2" customWidth="1"/>
    <col min="4" max="4" width="8" style="2" customWidth="1"/>
    <col min="5" max="5" width="21" style="2" customWidth="1"/>
    <col min="6" max="6" width="22.7109375" style="2" customWidth="1"/>
    <col min="7" max="7" width="18.85546875" style="2" customWidth="1"/>
    <col min="8" max="8" width="20.85546875" style="2" customWidth="1"/>
    <col min="9" max="9" width="17" style="2" customWidth="1"/>
    <col min="10" max="10" width="21" style="2" customWidth="1"/>
    <col min="11" max="16384" width="9.140625" style="2"/>
  </cols>
  <sheetData>
    <row r="1" spans="1:10" ht="17.100000000000001" customHeight="1" x14ac:dyDescent="0.25">
      <c r="A1" s="49" t="str">
        <f>CIDADE</f>
        <v>MUNICÍPIO DE SAO RAIMUNDO NONATO - PI</v>
      </c>
      <c r="B1" s="49"/>
      <c r="C1" s="49"/>
      <c r="D1" s="49"/>
      <c r="E1" s="49"/>
      <c r="F1" s="49"/>
      <c r="G1" s="49"/>
      <c r="H1" s="49"/>
      <c r="I1" s="49"/>
      <c r="J1" s="49"/>
    </row>
    <row r="2" spans="1:10" ht="17.100000000000001" customHeight="1" x14ac:dyDescent="0.25">
      <c r="A2" s="49" t="str">
        <f>OBRA</f>
        <v>ESPAÇO DA CIDADANIA</v>
      </c>
      <c r="B2" s="49"/>
      <c r="C2" s="49"/>
      <c r="D2" s="49"/>
      <c r="E2" s="49"/>
      <c r="F2" s="49"/>
      <c r="G2" s="49"/>
      <c r="H2" s="49"/>
      <c r="I2" s="49"/>
      <c r="J2" s="49"/>
    </row>
    <row r="3" spans="1:10" ht="17.100000000000001" customHeight="1" x14ac:dyDescent="0.25">
      <c r="A3" s="49" t="s">
        <v>239</v>
      </c>
      <c r="B3" s="49"/>
      <c r="C3" s="49"/>
      <c r="D3" s="49"/>
      <c r="E3" s="49"/>
      <c r="F3" s="49"/>
      <c r="G3" s="49"/>
      <c r="H3" s="49"/>
      <c r="I3" s="49"/>
      <c r="J3" s="49"/>
    </row>
    <row r="4" spans="1:10" ht="17.100000000000001" customHeight="1" x14ac:dyDescent="0.25">
      <c r="A4" s="5"/>
      <c r="B4" s="5"/>
      <c r="C4" s="5"/>
      <c r="D4" s="5"/>
      <c r="E4" s="5"/>
      <c r="F4" s="5"/>
      <c r="G4" s="5"/>
      <c r="H4" s="5"/>
      <c r="I4" s="5"/>
      <c r="J4" s="5"/>
    </row>
    <row r="5" spans="1:10" ht="17.100000000000001" customHeight="1" x14ac:dyDescent="0.25">
      <c r="A5" s="2" t="s">
        <v>3</v>
      </c>
      <c r="B5" s="4" t="str">
        <f>FONTE&amp;ONERA</f>
        <v>SINAPI PI-12/2021, SEINFRA 27, ORSE-11/2021, SEM DESONERAÇÃO</v>
      </c>
      <c r="F5" s="5"/>
      <c r="G5" s="2" t="s">
        <v>6</v>
      </c>
      <c r="H5" s="5">
        <f>LEI</f>
        <v>111.86</v>
      </c>
      <c r="I5" s="2" t="s">
        <v>7</v>
      </c>
      <c r="J5" s="5">
        <f>BDI</f>
        <v>20.34</v>
      </c>
    </row>
    <row r="6" spans="1:10" ht="17.100000000000001" customHeight="1" x14ac:dyDescent="0.25">
      <c r="A6" s="116" t="s">
        <v>31</v>
      </c>
      <c r="B6" s="117"/>
      <c r="C6" s="116" t="s">
        <v>8</v>
      </c>
      <c r="D6" s="120"/>
      <c r="E6" s="120"/>
      <c r="F6" s="117"/>
      <c r="G6" s="46" t="s">
        <v>240</v>
      </c>
      <c r="H6" s="48"/>
      <c r="I6" s="46" t="s">
        <v>5</v>
      </c>
      <c r="J6" s="48"/>
    </row>
    <row r="7" spans="1:10" ht="17.100000000000001" customHeight="1" x14ac:dyDescent="0.25">
      <c r="A7" s="118"/>
      <c r="B7" s="119"/>
      <c r="C7" s="118"/>
      <c r="D7" s="89"/>
      <c r="E7" s="89"/>
      <c r="F7" s="119"/>
      <c r="G7" s="6" t="s">
        <v>241</v>
      </c>
      <c r="H7" s="6" t="s">
        <v>242</v>
      </c>
      <c r="I7" s="6" t="s">
        <v>241</v>
      </c>
      <c r="J7" s="6" t="s">
        <v>242</v>
      </c>
    </row>
    <row r="8" spans="1:10" ht="17.100000000000001" customHeight="1" x14ac:dyDescent="0.25">
      <c r="A8" s="46" t="s">
        <v>243</v>
      </c>
      <c r="B8" s="47"/>
      <c r="C8" s="47"/>
      <c r="D8" s="47"/>
      <c r="E8" s="47"/>
      <c r="F8" s="47"/>
      <c r="G8" s="47"/>
      <c r="H8" s="47"/>
      <c r="I8" s="47"/>
      <c r="J8" s="48"/>
    </row>
    <row r="9" spans="1:10" ht="17.100000000000001" customHeight="1" x14ac:dyDescent="0.25">
      <c r="A9" s="107" t="s">
        <v>244</v>
      </c>
      <c r="B9" s="108"/>
      <c r="C9" s="107" t="s">
        <v>245</v>
      </c>
      <c r="D9" s="115"/>
      <c r="E9" s="115"/>
      <c r="F9" s="108"/>
      <c r="G9" s="12">
        <v>0</v>
      </c>
      <c r="H9" s="12">
        <v>0</v>
      </c>
      <c r="I9" s="12">
        <v>0.2</v>
      </c>
      <c r="J9" s="12">
        <v>0.2</v>
      </c>
    </row>
    <row r="10" spans="1:10" ht="17.100000000000001" customHeight="1" x14ac:dyDescent="0.25">
      <c r="A10" s="107" t="s">
        <v>246</v>
      </c>
      <c r="B10" s="108"/>
      <c r="C10" s="107" t="s">
        <v>247</v>
      </c>
      <c r="D10" s="115"/>
      <c r="E10" s="115"/>
      <c r="F10" s="108"/>
      <c r="G10" s="12">
        <v>1.4999999999999999E-2</v>
      </c>
      <c r="H10" s="12">
        <v>1.4999999999999999E-2</v>
      </c>
      <c r="I10" s="12">
        <v>1.4999999999999999E-2</v>
      </c>
      <c r="J10" s="12">
        <v>1.4999999999999999E-2</v>
      </c>
    </row>
    <row r="11" spans="1:10" ht="17.100000000000001" customHeight="1" x14ac:dyDescent="0.25">
      <c r="A11" s="107" t="s">
        <v>248</v>
      </c>
      <c r="B11" s="108"/>
      <c r="C11" s="107" t="s">
        <v>249</v>
      </c>
      <c r="D11" s="115"/>
      <c r="E11" s="115"/>
      <c r="F11" s="108"/>
      <c r="G11" s="12">
        <v>0.01</v>
      </c>
      <c r="H11" s="12">
        <v>0.01</v>
      </c>
      <c r="I11" s="12">
        <v>0.01</v>
      </c>
      <c r="J11" s="12">
        <v>0.01</v>
      </c>
    </row>
    <row r="12" spans="1:10" ht="17.100000000000001" customHeight="1" x14ac:dyDescent="0.25">
      <c r="A12" s="107" t="s">
        <v>250</v>
      </c>
      <c r="B12" s="108"/>
      <c r="C12" s="107" t="s">
        <v>251</v>
      </c>
      <c r="D12" s="115"/>
      <c r="E12" s="115"/>
      <c r="F12" s="108"/>
      <c r="G12" s="12">
        <v>2E-3</v>
      </c>
      <c r="H12" s="12">
        <v>2E-3</v>
      </c>
      <c r="I12" s="12">
        <v>2E-3</v>
      </c>
      <c r="J12" s="12">
        <v>2E-3</v>
      </c>
    </row>
    <row r="13" spans="1:10" ht="17.100000000000001" customHeight="1" x14ac:dyDescent="0.25">
      <c r="A13" s="107" t="s">
        <v>252</v>
      </c>
      <c r="B13" s="108"/>
      <c r="C13" s="107" t="s">
        <v>253</v>
      </c>
      <c r="D13" s="115"/>
      <c r="E13" s="115"/>
      <c r="F13" s="108"/>
      <c r="G13" s="12">
        <v>6.0000000000000001E-3</v>
      </c>
      <c r="H13" s="12">
        <v>6.0000000000000001E-3</v>
      </c>
      <c r="I13" s="12">
        <v>6.0000000000000001E-3</v>
      </c>
      <c r="J13" s="12">
        <v>6.0000000000000001E-3</v>
      </c>
    </row>
    <row r="14" spans="1:10" ht="17.100000000000001" customHeight="1" x14ac:dyDescent="0.25">
      <c r="A14" s="107" t="s">
        <v>254</v>
      </c>
      <c r="B14" s="108"/>
      <c r="C14" s="107" t="s">
        <v>255</v>
      </c>
      <c r="D14" s="115"/>
      <c r="E14" s="115"/>
      <c r="F14" s="108"/>
      <c r="G14" s="12">
        <v>2.5000000000000001E-2</v>
      </c>
      <c r="H14" s="12">
        <v>2.5000000000000001E-2</v>
      </c>
      <c r="I14" s="12">
        <v>2.5000000000000001E-2</v>
      </c>
      <c r="J14" s="12">
        <v>2.5000000000000001E-2</v>
      </c>
    </row>
    <row r="15" spans="1:10" ht="17.100000000000001" customHeight="1" x14ac:dyDescent="0.25">
      <c r="A15" s="107" t="s">
        <v>256</v>
      </c>
      <c r="B15" s="108"/>
      <c r="C15" s="107" t="s">
        <v>257</v>
      </c>
      <c r="D15" s="115"/>
      <c r="E15" s="115"/>
      <c r="F15" s="108"/>
      <c r="G15" s="12">
        <v>0.03</v>
      </c>
      <c r="H15" s="12">
        <v>0.03</v>
      </c>
      <c r="I15" s="12">
        <v>0.03</v>
      </c>
      <c r="J15" s="12">
        <v>0.03</v>
      </c>
    </row>
    <row r="16" spans="1:10" ht="17.100000000000001" customHeight="1" x14ac:dyDescent="0.25">
      <c r="A16" s="107" t="s">
        <v>258</v>
      </c>
      <c r="B16" s="108"/>
      <c r="C16" s="107" t="s">
        <v>259</v>
      </c>
      <c r="D16" s="115"/>
      <c r="E16" s="115"/>
      <c r="F16" s="108"/>
      <c r="G16" s="12">
        <v>0.08</v>
      </c>
      <c r="H16" s="12">
        <v>0.08</v>
      </c>
      <c r="I16" s="12">
        <v>0.08</v>
      </c>
      <c r="J16" s="12">
        <v>0.08</v>
      </c>
    </row>
    <row r="17" spans="1:10" ht="17.100000000000001" customHeight="1" x14ac:dyDescent="0.25">
      <c r="A17" s="107" t="s">
        <v>260</v>
      </c>
      <c r="B17" s="108"/>
      <c r="C17" s="107" t="s">
        <v>261</v>
      </c>
      <c r="D17" s="115"/>
      <c r="E17" s="115"/>
      <c r="F17" s="108"/>
      <c r="G17" s="12">
        <v>0</v>
      </c>
      <c r="H17" s="12">
        <v>0</v>
      </c>
      <c r="I17" s="12">
        <v>0</v>
      </c>
      <c r="J17" s="12">
        <v>0</v>
      </c>
    </row>
    <row r="18" spans="1:10" ht="17.100000000000001" customHeight="1" x14ac:dyDescent="0.25">
      <c r="A18" s="107" t="s">
        <v>262</v>
      </c>
      <c r="B18" s="108"/>
      <c r="C18" s="107" t="s">
        <v>22</v>
      </c>
      <c r="D18" s="115"/>
      <c r="E18" s="115"/>
      <c r="F18" s="108"/>
      <c r="G18" s="12">
        <f>SUM(G9:G17)</f>
        <v>0.16799999999999998</v>
      </c>
      <c r="H18" s="12">
        <f>SUM(H9:H17)</f>
        <v>0.16799999999999998</v>
      </c>
      <c r="I18" s="12">
        <f>SUM(I9:I17)</f>
        <v>0.36800000000000005</v>
      </c>
      <c r="J18" s="12">
        <f>SUM(J9:J17)</f>
        <v>0.36800000000000005</v>
      </c>
    </row>
    <row r="19" spans="1:10" ht="17.100000000000001" customHeight="1" x14ac:dyDescent="0.25">
      <c r="A19" s="46" t="s">
        <v>263</v>
      </c>
      <c r="B19" s="47"/>
      <c r="C19" s="47"/>
      <c r="D19" s="47"/>
      <c r="E19" s="47"/>
      <c r="F19" s="47"/>
      <c r="G19" s="47"/>
      <c r="H19" s="47"/>
      <c r="I19" s="47"/>
      <c r="J19" s="48"/>
    </row>
    <row r="20" spans="1:10" ht="17.100000000000001" customHeight="1" x14ac:dyDescent="0.25">
      <c r="A20" s="107" t="s">
        <v>264</v>
      </c>
      <c r="B20" s="108"/>
      <c r="C20" s="107" t="s">
        <v>265</v>
      </c>
      <c r="D20" s="115"/>
      <c r="E20" s="115"/>
      <c r="F20" s="108"/>
      <c r="G20" s="12">
        <v>0.17810000000000001</v>
      </c>
      <c r="H20" s="12" t="s">
        <v>266</v>
      </c>
      <c r="I20" s="12">
        <v>0.17810000000000001</v>
      </c>
      <c r="J20" s="12" t="s">
        <v>266</v>
      </c>
    </row>
    <row r="21" spans="1:10" ht="17.100000000000001" customHeight="1" x14ac:dyDescent="0.25">
      <c r="A21" s="107" t="s">
        <v>267</v>
      </c>
      <c r="B21" s="108"/>
      <c r="C21" s="107" t="s">
        <v>268</v>
      </c>
      <c r="D21" s="115"/>
      <c r="E21" s="115"/>
      <c r="F21" s="108"/>
      <c r="G21" s="12">
        <v>3.95E-2</v>
      </c>
      <c r="H21" s="12" t="s">
        <v>266</v>
      </c>
      <c r="I21" s="12">
        <v>3.95E-2</v>
      </c>
      <c r="J21" s="12" t="s">
        <v>266</v>
      </c>
    </row>
    <row r="22" spans="1:10" ht="17.100000000000001" customHeight="1" x14ac:dyDescent="0.25">
      <c r="A22" s="107" t="s">
        <v>269</v>
      </c>
      <c r="B22" s="108"/>
      <c r="C22" s="107" t="s">
        <v>270</v>
      </c>
      <c r="D22" s="115"/>
      <c r="E22" s="115"/>
      <c r="F22" s="108"/>
      <c r="G22" s="12">
        <v>8.5000000000000006E-3</v>
      </c>
      <c r="H22" s="12">
        <v>6.6E-3</v>
      </c>
      <c r="I22" s="12">
        <v>8.5000000000000006E-3</v>
      </c>
      <c r="J22" s="12">
        <v>6.6E-3</v>
      </c>
    </row>
    <row r="23" spans="1:10" ht="17.100000000000001" customHeight="1" x14ac:dyDescent="0.25">
      <c r="A23" s="107" t="s">
        <v>271</v>
      </c>
      <c r="B23" s="108"/>
      <c r="C23" s="107" t="s">
        <v>272</v>
      </c>
      <c r="D23" s="115"/>
      <c r="E23" s="115"/>
      <c r="F23" s="108"/>
      <c r="G23" s="12">
        <v>0.1077</v>
      </c>
      <c r="H23" s="12">
        <v>8.3299999999999999E-2</v>
      </c>
      <c r="I23" s="12">
        <v>0.1077</v>
      </c>
      <c r="J23" s="12">
        <v>8.3299999999999999E-2</v>
      </c>
    </row>
    <row r="24" spans="1:10" ht="17.100000000000001" customHeight="1" x14ac:dyDescent="0.25">
      <c r="A24" s="107" t="s">
        <v>273</v>
      </c>
      <c r="B24" s="108"/>
      <c r="C24" s="107" t="s">
        <v>274</v>
      </c>
      <c r="D24" s="115"/>
      <c r="E24" s="115"/>
      <c r="F24" s="108"/>
      <c r="G24" s="12">
        <v>6.9999999999999999E-4</v>
      </c>
      <c r="H24" s="12">
        <v>5.9999999999999995E-4</v>
      </c>
      <c r="I24" s="12">
        <v>6.9999999999999999E-4</v>
      </c>
      <c r="J24" s="12">
        <v>5.9999999999999995E-4</v>
      </c>
    </row>
    <row r="25" spans="1:10" ht="17.100000000000001" customHeight="1" x14ac:dyDescent="0.25">
      <c r="A25" s="107" t="s">
        <v>275</v>
      </c>
      <c r="B25" s="108"/>
      <c r="C25" s="107" t="s">
        <v>276</v>
      </c>
      <c r="D25" s="115"/>
      <c r="E25" s="115"/>
      <c r="F25" s="108"/>
      <c r="G25" s="12">
        <v>7.1999999999999998E-3</v>
      </c>
      <c r="H25" s="12">
        <v>5.5999999999999999E-3</v>
      </c>
      <c r="I25" s="12">
        <v>7.1999999999999998E-3</v>
      </c>
      <c r="J25" s="12">
        <v>5.5999999999999999E-3</v>
      </c>
    </row>
    <row r="26" spans="1:10" ht="17.100000000000001" customHeight="1" x14ac:dyDescent="0.25">
      <c r="A26" s="107" t="s">
        <v>277</v>
      </c>
      <c r="B26" s="108"/>
      <c r="C26" s="107" t="s">
        <v>278</v>
      </c>
      <c r="D26" s="115"/>
      <c r="E26" s="115"/>
      <c r="F26" s="108"/>
      <c r="G26" s="12">
        <v>1.1599999999999999E-2</v>
      </c>
      <c r="H26" s="12" t="s">
        <v>266</v>
      </c>
      <c r="I26" s="12">
        <v>1.1599999999999999E-2</v>
      </c>
      <c r="J26" s="12" t="s">
        <v>266</v>
      </c>
    </row>
    <row r="27" spans="1:10" ht="17.100000000000001" customHeight="1" x14ac:dyDescent="0.25">
      <c r="A27" s="107" t="s">
        <v>279</v>
      </c>
      <c r="B27" s="108"/>
      <c r="C27" s="107" t="s">
        <v>280</v>
      </c>
      <c r="D27" s="115"/>
      <c r="E27" s="115"/>
      <c r="F27" s="108"/>
      <c r="G27" s="12">
        <v>1E-3</v>
      </c>
      <c r="H27" s="12">
        <v>8.0000000000000004E-4</v>
      </c>
      <c r="I27" s="12">
        <v>1E-3</v>
      </c>
      <c r="J27" s="12">
        <v>8.0000000000000004E-4</v>
      </c>
    </row>
    <row r="28" spans="1:10" ht="17.100000000000001" customHeight="1" x14ac:dyDescent="0.25">
      <c r="A28" s="107" t="s">
        <v>281</v>
      </c>
      <c r="B28" s="108"/>
      <c r="C28" s="107" t="s">
        <v>282</v>
      </c>
      <c r="D28" s="115"/>
      <c r="E28" s="115"/>
      <c r="F28" s="108"/>
      <c r="G28" s="12">
        <v>8.5699999999999998E-2</v>
      </c>
      <c r="H28" s="12">
        <v>6.6299999999999998E-2</v>
      </c>
      <c r="I28" s="12">
        <v>8.5699999999999998E-2</v>
      </c>
      <c r="J28" s="12">
        <v>6.6299999999999998E-2</v>
      </c>
    </row>
    <row r="29" spans="1:10" ht="17.100000000000001" customHeight="1" x14ac:dyDescent="0.25">
      <c r="A29" s="107" t="s">
        <v>283</v>
      </c>
      <c r="B29" s="108"/>
      <c r="C29" s="107" t="s">
        <v>284</v>
      </c>
      <c r="D29" s="115"/>
      <c r="E29" s="115"/>
      <c r="F29" s="108"/>
      <c r="G29" s="12">
        <v>2.9999999999999997E-4</v>
      </c>
      <c r="H29" s="12">
        <v>2.0000000000000001E-4</v>
      </c>
      <c r="I29" s="12">
        <v>2.9999999999999997E-4</v>
      </c>
      <c r="J29" s="12">
        <v>2.0000000000000001E-4</v>
      </c>
    </row>
    <row r="30" spans="1:10" ht="17.100000000000001" customHeight="1" x14ac:dyDescent="0.25">
      <c r="A30" s="107" t="s">
        <v>285</v>
      </c>
      <c r="B30" s="108"/>
      <c r="C30" s="107" t="s">
        <v>22</v>
      </c>
      <c r="D30" s="115"/>
      <c r="E30" s="115"/>
      <c r="F30" s="108"/>
      <c r="G30" s="12">
        <f>SUM(G20:G29)</f>
        <v>0.44030000000000002</v>
      </c>
      <c r="H30" s="12">
        <f>SUM(H20:H29)</f>
        <v>0.16339999999999999</v>
      </c>
      <c r="I30" s="12">
        <f>SUM(I20:I29)</f>
        <v>0.44030000000000002</v>
      </c>
      <c r="J30" s="12">
        <f>SUM(J20:J29)</f>
        <v>0.16339999999999999</v>
      </c>
    </row>
    <row r="31" spans="1:10" ht="17.100000000000001" customHeight="1" x14ac:dyDescent="0.25">
      <c r="A31" s="46" t="s">
        <v>286</v>
      </c>
      <c r="B31" s="47"/>
      <c r="C31" s="47"/>
      <c r="D31" s="47"/>
      <c r="E31" s="47"/>
      <c r="F31" s="47"/>
      <c r="G31" s="47"/>
      <c r="H31" s="47"/>
      <c r="I31" s="47"/>
      <c r="J31" s="48"/>
    </row>
    <row r="32" spans="1:10" ht="17.100000000000001" customHeight="1" x14ac:dyDescent="0.25">
      <c r="A32" s="107" t="s">
        <v>287</v>
      </c>
      <c r="B32" s="108"/>
      <c r="C32" s="107" t="s">
        <v>288</v>
      </c>
      <c r="D32" s="115"/>
      <c r="E32" s="115"/>
      <c r="F32" s="108"/>
      <c r="G32" s="12">
        <v>5.21E-2</v>
      </c>
      <c r="H32" s="12">
        <v>4.0300000000000002E-2</v>
      </c>
      <c r="I32" s="12">
        <v>5.21E-2</v>
      </c>
      <c r="J32" s="12">
        <v>4.0300000000000002E-2</v>
      </c>
    </row>
    <row r="33" spans="1:10" ht="17.100000000000001" customHeight="1" x14ac:dyDescent="0.25">
      <c r="A33" s="107" t="s">
        <v>289</v>
      </c>
      <c r="B33" s="108"/>
      <c r="C33" s="107" t="s">
        <v>290</v>
      </c>
      <c r="D33" s="115"/>
      <c r="E33" s="115"/>
      <c r="F33" s="108"/>
      <c r="G33" s="12">
        <v>1.1999999999999999E-3</v>
      </c>
      <c r="H33" s="12">
        <v>8.9999999999999998E-4</v>
      </c>
      <c r="I33" s="12">
        <v>1.1999999999999999E-3</v>
      </c>
      <c r="J33" s="12">
        <v>8.9999999999999998E-4</v>
      </c>
    </row>
    <row r="34" spans="1:10" ht="17.100000000000001" customHeight="1" x14ac:dyDescent="0.25">
      <c r="A34" s="107" t="s">
        <v>291</v>
      </c>
      <c r="B34" s="108"/>
      <c r="C34" s="107" t="s">
        <v>292</v>
      </c>
      <c r="D34" s="115"/>
      <c r="E34" s="115"/>
      <c r="F34" s="108"/>
      <c r="G34" s="12">
        <v>4.7899999999999998E-2</v>
      </c>
      <c r="H34" s="12">
        <v>3.7100000000000001E-2</v>
      </c>
      <c r="I34" s="12">
        <v>4.7899999999999998E-2</v>
      </c>
      <c r="J34" s="12">
        <v>3.7100000000000001E-2</v>
      </c>
    </row>
    <row r="35" spans="1:10" ht="17.100000000000001" customHeight="1" x14ac:dyDescent="0.25">
      <c r="A35" s="107" t="s">
        <v>293</v>
      </c>
      <c r="B35" s="108"/>
      <c r="C35" s="107" t="s">
        <v>294</v>
      </c>
      <c r="D35" s="115"/>
      <c r="E35" s="115"/>
      <c r="F35" s="108"/>
      <c r="G35" s="12">
        <v>3.8100000000000002E-2</v>
      </c>
      <c r="H35" s="12">
        <v>2.9499999999999998E-2</v>
      </c>
      <c r="I35" s="12">
        <v>3.8100000000000002E-2</v>
      </c>
      <c r="J35" s="12">
        <v>2.9499999999999998E-2</v>
      </c>
    </row>
    <row r="36" spans="1:10" ht="17.100000000000001" customHeight="1" x14ac:dyDescent="0.25">
      <c r="A36" s="107" t="s">
        <v>295</v>
      </c>
      <c r="B36" s="108"/>
      <c r="C36" s="107" t="s">
        <v>296</v>
      </c>
      <c r="D36" s="115"/>
      <c r="E36" s="115"/>
      <c r="F36" s="108"/>
      <c r="G36" s="12">
        <v>4.4000000000000003E-3</v>
      </c>
      <c r="H36" s="12">
        <v>3.3999999999999998E-3</v>
      </c>
      <c r="I36" s="12">
        <v>4.4000000000000003E-3</v>
      </c>
      <c r="J36" s="12">
        <v>3.3999999999999998E-3</v>
      </c>
    </row>
    <row r="37" spans="1:10" ht="17.100000000000001" customHeight="1" x14ac:dyDescent="0.25">
      <c r="A37" s="107" t="s">
        <v>297</v>
      </c>
      <c r="B37" s="108"/>
      <c r="C37" s="107" t="s">
        <v>22</v>
      </c>
      <c r="D37" s="115"/>
      <c r="E37" s="115"/>
      <c r="F37" s="108"/>
      <c r="G37" s="12">
        <f>SUM(G32:G36)</f>
        <v>0.14369999999999999</v>
      </c>
      <c r="H37" s="12">
        <f>SUM(H32:H36)</f>
        <v>0.11120000000000001</v>
      </c>
      <c r="I37" s="12">
        <f>SUM(I32:I36)</f>
        <v>0.14369999999999999</v>
      </c>
      <c r="J37" s="12">
        <f>SUM(J32:J36)</f>
        <v>0.11120000000000001</v>
      </c>
    </row>
    <row r="38" spans="1:10" ht="17.100000000000001" customHeight="1" x14ac:dyDescent="0.25">
      <c r="A38" s="46" t="s">
        <v>298</v>
      </c>
      <c r="B38" s="47"/>
      <c r="C38" s="47"/>
      <c r="D38" s="47"/>
      <c r="E38" s="47"/>
      <c r="F38" s="47"/>
      <c r="G38" s="47"/>
      <c r="H38" s="47"/>
      <c r="I38" s="47"/>
      <c r="J38" s="48"/>
    </row>
    <row r="39" spans="1:10" ht="17.100000000000001" customHeight="1" x14ac:dyDescent="0.25">
      <c r="A39" s="107" t="s">
        <v>299</v>
      </c>
      <c r="B39" s="108"/>
      <c r="C39" s="107" t="s">
        <v>300</v>
      </c>
      <c r="D39" s="115"/>
      <c r="E39" s="115"/>
      <c r="F39" s="108"/>
      <c r="G39" s="12">
        <v>7.3999999999999996E-2</v>
      </c>
      <c r="H39" s="12">
        <v>2.75E-2</v>
      </c>
      <c r="I39" s="12">
        <v>0.16200000000000001</v>
      </c>
      <c r="J39" s="12">
        <v>6.0100000000000001E-2</v>
      </c>
    </row>
    <row r="40" spans="1:10" ht="17.100000000000001" customHeight="1" x14ac:dyDescent="0.25">
      <c r="A40" s="107" t="s">
        <v>301</v>
      </c>
      <c r="B40" s="108"/>
      <c r="C40" s="107" t="s">
        <v>302</v>
      </c>
      <c r="D40" s="115"/>
      <c r="E40" s="115"/>
      <c r="F40" s="108"/>
      <c r="G40" s="12">
        <v>4.4000000000000003E-3</v>
      </c>
      <c r="H40" s="12">
        <v>3.3999999999999998E-3</v>
      </c>
      <c r="I40" s="12">
        <v>4.5999999999999999E-3</v>
      </c>
      <c r="J40" s="12">
        <v>3.5999999999999999E-3</v>
      </c>
    </row>
    <row r="41" spans="1:10" ht="17.100000000000001" customHeight="1" x14ac:dyDescent="0.25">
      <c r="A41" s="107" t="s">
        <v>303</v>
      </c>
      <c r="B41" s="108"/>
      <c r="C41" s="107" t="s">
        <v>22</v>
      </c>
      <c r="D41" s="115"/>
      <c r="E41" s="115"/>
      <c r="F41" s="108"/>
      <c r="G41" s="12">
        <f>SUM(G39:G40)</f>
        <v>7.8399999999999997E-2</v>
      </c>
      <c r="H41" s="12">
        <f>SUM(H39:H40)</f>
        <v>3.09E-2</v>
      </c>
      <c r="I41" s="12">
        <f>SUM(I39:I40)</f>
        <v>0.1666</v>
      </c>
      <c r="J41" s="12">
        <f>SUM(J39:J40)</f>
        <v>6.3700000000000007E-2</v>
      </c>
    </row>
    <row r="42" spans="1:10" ht="17.100000000000001" customHeight="1" x14ac:dyDescent="0.25">
      <c r="A42" s="46" t="s">
        <v>304</v>
      </c>
      <c r="B42" s="47"/>
      <c r="C42" s="47"/>
      <c r="D42" s="47"/>
      <c r="E42" s="47"/>
      <c r="F42" s="47"/>
      <c r="G42" s="47"/>
      <c r="H42" s="47"/>
      <c r="I42" s="47"/>
      <c r="J42" s="48"/>
    </row>
    <row r="43" spans="1:10" ht="17.100000000000001" customHeight="1" x14ac:dyDescent="0.25">
      <c r="A43" s="46" t="s">
        <v>22</v>
      </c>
      <c r="B43" s="47"/>
      <c r="C43" s="47"/>
      <c r="D43" s="47"/>
      <c r="E43" s="47"/>
      <c r="F43" s="48"/>
      <c r="G43" s="14">
        <f>G18+G30+G37+G41</f>
        <v>0.83040000000000003</v>
      </c>
      <c r="H43" s="14">
        <f>H18+H30+H37+H41</f>
        <v>0.47349999999999998</v>
      </c>
      <c r="I43" s="14">
        <f>I18+I30+I37+I41</f>
        <v>1.1186</v>
      </c>
      <c r="J43" s="14">
        <f>J18+J30+J37+J41</f>
        <v>0.70630000000000004</v>
      </c>
    </row>
    <row r="44" spans="1:10" ht="17.100000000000001" customHeight="1" x14ac:dyDescent="0.25">
      <c r="A44" s="114" t="s">
        <v>305</v>
      </c>
      <c r="B44" s="114"/>
      <c r="C44" s="114"/>
      <c r="D44" s="114"/>
      <c r="E44" s="114"/>
      <c r="F44" s="114"/>
      <c r="G44" s="114"/>
      <c r="H44" s="114"/>
      <c r="I44" s="114"/>
      <c r="J44" s="114"/>
    </row>
  </sheetData>
  <sheetProtection formatCells="0" formatColumns="0" formatRows="0" insertColumns="0" insertRows="0" insertHyperlinks="0" deleteColumns="0" deleteRows="0" sort="0" autoFilter="0" pivotTables="0"/>
  <mergeCells count="74">
    <mergeCell ref="A11:B11"/>
    <mergeCell ref="C11:F11"/>
    <mergeCell ref="A1:J1"/>
    <mergeCell ref="A2:J2"/>
    <mergeCell ref="A3:J3"/>
    <mergeCell ref="A6:B7"/>
    <mergeCell ref="C6:F7"/>
    <mergeCell ref="G6:H6"/>
    <mergeCell ref="I6:J6"/>
    <mergeCell ref="A8:J8"/>
    <mergeCell ref="A9:B9"/>
    <mergeCell ref="C9:F9"/>
    <mergeCell ref="A10:B10"/>
    <mergeCell ref="C10:F10"/>
    <mergeCell ref="A12:B12"/>
    <mergeCell ref="C12:F12"/>
    <mergeCell ref="A13:B13"/>
    <mergeCell ref="C13:F13"/>
    <mergeCell ref="A14:B14"/>
    <mergeCell ref="C14:F14"/>
    <mergeCell ref="A21:B21"/>
    <mergeCell ref="C21:F21"/>
    <mergeCell ref="A15:B15"/>
    <mergeCell ref="C15:F15"/>
    <mergeCell ref="A16:B16"/>
    <mergeCell ref="C16:F16"/>
    <mergeCell ref="A17:B17"/>
    <mergeCell ref="C17:F17"/>
    <mergeCell ref="A18:B18"/>
    <mergeCell ref="C18:F18"/>
    <mergeCell ref="A19:J19"/>
    <mergeCell ref="A20:B20"/>
    <mergeCell ref="C20:F20"/>
    <mergeCell ref="A22:B22"/>
    <mergeCell ref="C22:F22"/>
    <mergeCell ref="A23:B23"/>
    <mergeCell ref="C23:F23"/>
    <mergeCell ref="A24:B24"/>
    <mergeCell ref="C24:F24"/>
    <mergeCell ref="A25:B25"/>
    <mergeCell ref="C25:F25"/>
    <mergeCell ref="A26:B26"/>
    <mergeCell ref="C26:F26"/>
    <mergeCell ref="A27:B27"/>
    <mergeCell ref="C27:F27"/>
    <mergeCell ref="A34:B34"/>
    <mergeCell ref="C34:F34"/>
    <mergeCell ref="A28:B28"/>
    <mergeCell ref="C28:F28"/>
    <mergeCell ref="A29:B29"/>
    <mergeCell ref="C29:F29"/>
    <mergeCell ref="A30:B30"/>
    <mergeCell ref="C30:F30"/>
    <mergeCell ref="A31:J31"/>
    <mergeCell ref="A32:B32"/>
    <mergeCell ref="C32:F32"/>
    <mergeCell ref="A33:B33"/>
    <mergeCell ref="C33:F33"/>
    <mergeCell ref="A35:B35"/>
    <mergeCell ref="C35:F35"/>
    <mergeCell ref="A36:B36"/>
    <mergeCell ref="C36:F36"/>
    <mergeCell ref="A37:B37"/>
    <mergeCell ref="C37:F37"/>
    <mergeCell ref="A42:J42"/>
    <mergeCell ref="A43:F43"/>
    <mergeCell ref="A44:J44"/>
    <mergeCell ref="A38:J38"/>
    <mergeCell ref="A39:B39"/>
    <mergeCell ref="C39:F39"/>
    <mergeCell ref="A40:B40"/>
    <mergeCell ref="C40:F40"/>
    <mergeCell ref="A41:B41"/>
    <mergeCell ref="C41:F41"/>
  </mergeCells>
  <pageMargins left="0.7" right="0.7" top="0.75" bottom="0.75" header="0.3" footer="0.3"/>
  <pageSetup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election activeCell="B2" sqref="B2"/>
    </sheetView>
  </sheetViews>
  <sheetFormatPr defaultRowHeight="15" customHeight="1" x14ac:dyDescent="0.25"/>
  <cols>
    <col min="1" max="1" width="17.140625" style="2" customWidth="1"/>
    <col min="2" max="2" width="102.85546875" style="2" customWidth="1"/>
    <col min="3" max="3" width="11.42578125" style="2" customWidth="1"/>
    <col min="4" max="6" width="17.140625" style="2" customWidth="1"/>
  </cols>
  <sheetData>
    <row r="1" spans="1:6" ht="15" customHeight="1" x14ac:dyDescent="0.25">
      <c r="A1" s="6" t="s">
        <v>306</v>
      </c>
      <c r="B1" s="6" t="s">
        <v>307</v>
      </c>
      <c r="C1" s="6" t="s">
        <v>308</v>
      </c>
      <c r="D1" s="6" t="s">
        <v>309</v>
      </c>
      <c r="E1" s="6" t="s">
        <v>310</v>
      </c>
      <c r="F1" s="6" t="s">
        <v>311</v>
      </c>
    </row>
    <row r="2" spans="1:6" ht="15" customHeight="1" x14ac:dyDescent="0.25">
      <c r="A2" s="19">
        <v>88489</v>
      </c>
      <c r="B2" s="9" t="s">
        <v>312</v>
      </c>
      <c r="C2" s="34" t="s">
        <v>142</v>
      </c>
      <c r="D2" s="17">
        <f t="shared" ref="D2:D33" si="0">IF(ONERA="COM DESONERAÇÃO",E2,F2)</f>
        <v>12.46</v>
      </c>
      <c r="E2" s="17">
        <v>11.98</v>
      </c>
      <c r="F2" s="17">
        <v>12.46</v>
      </c>
    </row>
    <row r="3" spans="1:6" ht="15" customHeight="1" x14ac:dyDescent="0.25">
      <c r="A3" s="19">
        <v>88629</v>
      </c>
      <c r="B3" s="9" t="s">
        <v>313</v>
      </c>
      <c r="C3" s="34" t="s">
        <v>147</v>
      </c>
      <c r="D3" s="17">
        <f t="shared" si="0"/>
        <v>562.57000000000005</v>
      </c>
      <c r="E3" s="17">
        <v>549.98</v>
      </c>
      <c r="F3" s="17">
        <v>562.57000000000005</v>
      </c>
    </row>
    <row r="4" spans="1:6" ht="15" customHeight="1" x14ac:dyDescent="0.25">
      <c r="A4" s="19">
        <v>88248</v>
      </c>
      <c r="B4" s="9" t="s">
        <v>314</v>
      </c>
      <c r="C4" s="34" t="s">
        <v>315</v>
      </c>
      <c r="D4" s="17">
        <f t="shared" si="0"/>
        <v>15.83</v>
      </c>
      <c r="E4" s="17">
        <v>14.37</v>
      </c>
      <c r="F4" s="17">
        <v>15.83</v>
      </c>
    </row>
    <row r="5" spans="1:6" ht="15" customHeight="1" x14ac:dyDescent="0.25">
      <c r="A5" s="19">
        <v>88831</v>
      </c>
      <c r="B5" s="9" t="s">
        <v>316</v>
      </c>
      <c r="C5" s="34" t="s">
        <v>317</v>
      </c>
      <c r="D5" s="17">
        <f t="shared" si="0"/>
        <v>0.34</v>
      </c>
      <c r="E5" s="17">
        <v>0.34</v>
      </c>
      <c r="F5" s="17">
        <v>0.34</v>
      </c>
    </row>
    <row r="6" spans="1:6" ht="15" customHeight="1" x14ac:dyDescent="0.25">
      <c r="A6" s="19">
        <v>88830</v>
      </c>
      <c r="B6" s="9" t="s">
        <v>318</v>
      </c>
      <c r="C6" s="34" t="s">
        <v>319</v>
      </c>
      <c r="D6" s="17">
        <f t="shared" si="0"/>
        <v>1.95</v>
      </c>
      <c r="E6" s="17">
        <v>1.95</v>
      </c>
      <c r="F6" s="17">
        <v>1.95</v>
      </c>
    </row>
    <row r="7" spans="1:6" ht="15" customHeight="1" x14ac:dyDescent="0.25">
      <c r="A7" s="19">
        <v>88826</v>
      </c>
      <c r="B7" s="9" t="s">
        <v>320</v>
      </c>
      <c r="C7" s="34" t="s">
        <v>315</v>
      </c>
      <c r="D7" s="17">
        <f t="shared" si="0"/>
        <v>0.31</v>
      </c>
      <c r="E7" s="17">
        <v>0.31</v>
      </c>
      <c r="F7" s="17">
        <v>0.31</v>
      </c>
    </row>
    <row r="8" spans="1:6" ht="15" customHeight="1" x14ac:dyDescent="0.25">
      <c r="A8" s="19">
        <v>88827</v>
      </c>
      <c r="B8" s="9" t="s">
        <v>321</v>
      </c>
      <c r="C8" s="34" t="s">
        <v>315</v>
      </c>
      <c r="D8" s="17">
        <f t="shared" si="0"/>
        <v>0.03</v>
      </c>
      <c r="E8" s="17">
        <v>0.03</v>
      </c>
      <c r="F8" s="17">
        <v>0.03</v>
      </c>
    </row>
    <row r="9" spans="1:6" ht="15" customHeight="1" x14ac:dyDescent="0.25">
      <c r="A9" s="19">
        <v>88828</v>
      </c>
      <c r="B9" s="9" t="s">
        <v>322</v>
      </c>
      <c r="C9" s="34" t="s">
        <v>315</v>
      </c>
      <c r="D9" s="17">
        <f t="shared" si="0"/>
        <v>0.34</v>
      </c>
      <c r="E9" s="17">
        <v>0.34</v>
      </c>
      <c r="F9" s="17">
        <v>0.34</v>
      </c>
    </row>
    <row r="10" spans="1:6" ht="15" customHeight="1" x14ac:dyDescent="0.25">
      <c r="A10" s="19">
        <v>88829</v>
      </c>
      <c r="B10" s="9" t="s">
        <v>323</v>
      </c>
      <c r="C10" s="34" t="s">
        <v>315</v>
      </c>
      <c r="D10" s="17">
        <f t="shared" si="0"/>
        <v>1.27</v>
      </c>
      <c r="E10" s="17">
        <v>1.27</v>
      </c>
      <c r="F10" s="17">
        <v>1.27</v>
      </c>
    </row>
    <row r="11" spans="1:6" ht="15" customHeight="1" x14ac:dyDescent="0.25">
      <c r="A11" s="19">
        <v>88262</v>
      </c>
      <c r="B11" s="9" t="s">
        <v>324</v>
      </c>
      <c r="C11" s="34" t="s">
        <v>315</v>
      </c>
      <c r="D11" s="17">
        <f t="shared" si="0"/>
        <v>20.61</v>
      </c>
      <c r="E11" s="17">
        <v>18.559999999999999</v>
      </c>
      <c r="F11" s="17">
        <v>20.61</v>
      </c>
    </row>
    <row r="12" spans="1:6" ht="15" customHeight="1" x14ac:dyDescent="0.25">
      <c r="A12" s="19">
        <v>90466</v>
      </c>
      <c r="B12" s="9" t="s">
        <v>325</v>
      </c>
      <c r="C12" s="34" t="s">
        <v>326</v>
      </c>
      <c r="D12" s="17">
        <f t="shared" si="0"/>
        <v>10.45</v>
      </c>
      <c r="E12" s="17">
        <v>9.5299999999999994</v>
      </c>
      <c r="F12" s="17">
        <v>10.45</v>
      </c>
    </row>
    <row r="13" spans="1:6" ht="15" customHeight="1" x14ac:dyDescent="0.25">
      <c r="A13" s="19">
        <v>94962</v>
      </c>
      <c r="B13" s="9" t="s">
        <v>327</v>
      </c>
      <c r="C13" s="34" t="s">
        <v>147</v>
      </c>
      <c r="D13" s="17">
        <f t="shared" si="0"/>
        <v>365.88</v>
      </c>
      <c r="E13" s="17">
        <v>359.4</v>
      </c>
      <c r="F13" s="17">
        <v>365.88</v>
      </c>
    </row>
    <row r="14" spans="1:6" ht="15" customHeight="1" x14ac:dyDescent="0.25">
      <c r="A14" s="19">
        <v>95317</v>
      </c>
      <c r="B14" s="9" t="s">
        <v>328</v>
      </c>
      <c r="C14" s="34" t="s">
        <v>315</v>
      </c>
      <c r="D14" s="17">
        <f t="shared" si="0"/>
        <v>0.15</v>
      </c>
      <c r="E14" s="17">
        <v>0.13</v>
      </c>
      <c r="F14" s="17">
        <v>0.15</v>
      </c>
    </row>
    <row r="15" spans="1:6" ht="15" customHeight="1" x14ac:dyDescent="0.25">
      <c r="A15" s="19">
        <v>95330</v>
      </c>
      <c r="B15" s="9" t="s">
        <v>329</v>
      </c>
      <c r="C15" s="34" t="s">
        <v>315</v>
      </c>
      <c r="D15" s="17">
        <f t="shared" si="0"/>
        <v>0.14000000000000001</v>
      </c>
      <c r="E15" s="17">
        <v>0.12</v>
      </c>
      <c r="F15" s="17">
        <v>0.14000000000000001</v>
      </c>
    </row>
    <row r="16" spans="1:6" ht="15" customHeight="1" x14ac:dyDescent="0.25">
      <c r="A16" s="19">
        <v>95332</v>
      </c>
      <c r="B16" s="9" t="s">
        <v>330</v>
      </c>
      <c r="C16" s="34" t="s">
        <v>315</v>
      </c>
      <c r="D16" s="17">
        <f t="shared" si="0"/>
        <v>0.45</v>
      </c>
      <c r="E16" s="17">
        <v>0.38</v>
      </c>
      <c r="F16" s="17">
        <v>0.45</v>
      </c>
    </row>
    <row r="17" spans="1:6" ht="15" customHeight="1" x14ac:dyDescent="0.25">
      <c r="A17" s="19">
        <v>95335</v>
      </c>
      <c r="B17" s="9" t="s">
        <v>331</v>
      </c>
      <c r="C17" s="34" t="s">
        <v>315</v>
      </c>
      <c r="D17" s="17">
        <f t="shared" si="0"/>
        <v>0.21</v>
      </c>
      <c r="E17" s="17">
        <v>0.18</v>
      </c>
      <c r="F17" s="17">
        <v>0.21</v>
      </c>
    </row>
    <row r="18" spans="1:6" ht="15" customHeight="1" x14ac:dyDescent="0.25">
      <c r="A18" s="19">
        <v>95402</v>
      </c>
      <c r="B18" s="9" t="s">
        <v>332</v>
      </c>
      <c r="C18" s="34" t="s">
        <v>315</v>
      </c>
      <c r="D18" s="17">
        <f t="shared" si="0"/>
        <v>1.08</v>
      </c>
      <c r="E18" s="17">
        <v>0.93</v>
      </c>
      <c r="F18" s="17">
        <v>1.08</v>
      </c>
    </row>
    <row r="19" spans="1:6" ht="15" customHeight="1" x14ac:dyDescent="0.25">
      <c r="A19" s="19">
        <v>95405</v>
      </c>
      <c r="B19" s="9" t="s">
        <v>333</v>
      </c>
      <c r="C19" s="34" t="s">
        <v>315</v>
      </c>
      <c r="D19" s="17">
        <f t="shared" si="0"/>
        <v>0.6</v>
      </c>
      <c r="E19" s="17">
        <v>0.52</v>
      </c>
      <c r="F19" s="17">
        <v>0.6</v>
      </c>
    </row>
    <row r="20" spans="1:6" ht="15" customHeight="1" x14ac:dyDescent="0.25">
      <c r="A20" s="19">
        <v>95344</v>
      </c>
      <c r="B20" s="9" t="s">
        <v>334</v>
      </c>
      <c r="C20" s="34" t="s">
        <v>315</v>
      </c>
      <c r="D20" s="17">
        <f t="shared" si="0"/>
        <v>0.14000000000000001</v>
      </c>
      <c r="E20" s="17">
        <v>0.12</v>
      </c>
      <c r="F20" s="17">
        <v>0.14000000000000001</v>
      </c>
    </row>
    <row r="21" spans="1:6" ht="15" customHeight="1" x14ac:dyDescent="0.25">
      <c r="A21" s="19">
        <v>95389</v>
      </c>
      <c r="B21" s="9" t="s">
        <v>335</v>
      </c>
      <c r="C21" s="34" t="s">
        <v>315</v>
      </c>
      <c r="D21" s="17">
        <f t="shared" si="0"/>
        <v>0.1</v>
      </c>
      <c r="E21" s="17">
        <v>0.08</v>
      </c>
      <c r="F21" s="17">
        <v>0.1</v>
      </c>
    </row>
    <row r="22" spans="1:6" ht="15" customHeight="1" x14ac:dyDescent="0.25">
      <c r="A22" s="19">
        <v>95358</v>
      </c>
      <c r="B22" s="9" t="s">
        <v>336</v>
      </c>
      <c r="C22" s="34" t="s">
        <v>315</v>
      </c>
      <c r="D22" s="17">
        <f t="shared" si="0"/>
        <v>0.23</v>
      </c>
      <c r="E22" s="17">
        <v>0.2</v>
      </c>
      <c r="F22" s="17">
        <v>0.23</v>
      </c>
    </row>
    <row r="23" spans="1:6" ht="15" customHeight="1" x14ac:dyDescent="0.25">
      <c r="A23" s="19">
        <v>95372</v>
      </c>
      <c r="B23" s="9" t="s">
        <v>337</v>
      </c>
      <c r="C23" s="34" t="s">
        <v>315</v>
      </c>
      <c r="D23" s="17">
        <f t="shared" si="0"/>
        <v>0.17</v>
      </c>
      <c r="E23" s="17">
        <v>0.15</v>
      </c>
      <c r="F23" s="17">
        <v>0.17</v>
      </c>
    </row>
    <row r="24" spans="1:6" ht="15" customHeight="1" x14ac:dyDescent="0.25">
      <c r="A24" s="19">
        <v>95378</v>
      </c>
      <c r="B24" s="9" t="s">
        <v>338</v>
      </c>
      <c r="C24" s="34" t="s">
        <v>315</v>
      </c>
      <c r="D24" s="17">
        <f t="shared" si="0"/>
        <v>0.18</v>
      </c>
      <c r="E24" s="17">
        <v>0.15</v>
      </c>
      <c r="F24" s="17">
        <v>0.18</v>
      </c>
    </row>
    <row r="25" spans="1:6" ht="15" customHeight="1" x14ac:dyDescent="0.25">
      <c r="A25" s="19">
        <v>95385</v>
      </c>
      <c r="B25" s="9" t="s">
        <v>339</v>
      </c>
      <c r="C25" s="34" t="s">
        <v>315</v>
      </c>
      <c r="D25" s="17">
        <f t="shared" si="0"/>
        <v>0.16</v>
      </c>
      <c r="E25" s="17">
        <v>0.14000000000000001</v>
      </c>
      <c r="F25" s="17">
        <v>0.16</v>
      </c>
    </row>
    <row r="26" spans="1:6" ht="15" customHeight="1" x14ac:dyDescent="0.25">
      <c r="A26" s="19">
        <v>88264</v>
      </c>
      <c r="B26" s="9" t="s">
        <v>340</v>
      </c>
      <c r="C26" s="34" t="s">
        <v>315</v>
      </c>
      <c r="D26" s="17">
        <f t="shared" si="0"/>
        <v>21.06</v>
      </c>
      <c r="E26" s="17">
        <v>18.96</v>
      </c>
      <c r="F26" s="17">
        <v>21.06</v>
      </c>
    </row>
    <row r="27" spans="1:6" ht="15" customHeight="1" x14ac:dyDescent="0.25">
      <c r="A27" s="19">
        <v>88267</v>
      </c>
      <c r="B27" s="9" t="s">
        <v>341</v>
      </c>
      <c r="C27" s="34" t="s">
        <v>315</v>
      </c>
      <c r="D27" s="17">
        <f t="shared" si="0"/>
        <v>20.23</v>
      </c>
      <c r="E27" s="17">
        <v>18.170000000000002</v>
      </c>
      <c r="F27" s="17">
        <v>20.23</v>
      </c>
    </row>
    <row r="28" spans="1:6" ht="15" customHeight="1" x14ac:dyDescent="0.25">
      <c r="A28" s="19">
        <v>90777</v>
      </c>
      <c r="B28" s="9" t="s">
        <v>342</v>
      </c>
      <c r="C28" s="34" t="s">
        <v>315</v>
      </c>
      <c r="D28" s="17">
        <f t="shared" si="0"/>
        <v>92.66</v>
      </c>
      <c r="E28" s="17">
        <v>80.260000000000005</v>
      </c>
      <c r="F28" s="17">
        <v>92.66</v>
      </c>
    </row>
    <row r="29" spans="1:6" ht="15" customHeight="1" x14ac:dyDescent="0.25">
      <c r="A29" s="19">
        <v>93282</v>
      </c>
      <c r="B29" s="9" t="s">
        <v>343</v>
      </c>
      <c r="C29" s="34" t="s">
        <v>317</v>
      </c>
      <c r="D29" s="17">
        <f t="shared" si="0"/>
        <v>23.09</v>
      </c>
      <c r="E29" s="17">
        <v>20.62</v>
      </c>
      <c r="F29" s="17">
        <v>23.09</v>
      </c>
    </row>
    <row r="30" spans="1:6" ht="15" customHeight="1" x14ac:dyDescent="0.25">
      <c r="A30" s="19">
        <v>93281</v>
      </c>
      <c r="B30" s="9" t="s">
        <v>344</v>
      </c>
      <c r="C30" s="34" t="s">
        <v>319</v>
      </c>
      <c r="D30" s="17">
        <f t="shared" si="0"/>
        <v>24.17</v>
      </c>
      <c r="E30" s="17">
        <v>21.7</v>
      </c>
      <c r="F30" s="17">
        <v>24.17</v>
      </c>
    </row>
    <row r="31" spans="1:6" ht="15" customHeight="1" x14ac:dyDescent="0.25">
      <c r="A31" s="19">
        <v>93277</v>
      </c>
      <c r="B31" s="9" t="s">
        <v>345</v>
      </c>
      <c r="C31" s="34" t="s">
        <v>315</v>
      </c>
      <c r="D31" s="17">
        <f t="shared" si="0"/>
        <v>0.31</v>
      </c>
      <c r="E31" s="17">
        <v>0.31</v>
      </c>
      <c r="F31" s="17">
        <v>0.31</v>
      </c>
    </row>
    <row r="32" spans="1:6" ht="15" customHeight="1" x14ac:dyDescent="0.25">
      <c r="A32" s="19">
        <v>93278</v>
      </c>
      <c r="B32" s="9" t="s">
        <v>346</v>
      </c>
      <c r="C32" s="34" t="s">
        <v>315</v>
      </c>
      <c r="D32" s="17">
        <f t="shared" si="0"/>
        <v>0.03</v>
      </c>
      <c r="E32" s="17">
        <v>0.03</v>
      </c>
      <c r="F32" s="17">
        <v>0.03</v>
      </c>
    </row>
    <row r="33" spans="1:6" ht="15" customHeight="1" x14ac:dyDescent="0.25">
      <c r="A33" s="19">
        <v>93279</v>
      </c>
      <c r="B33" s="9" t="s">
        <v>347</v>
      </c>
      <c r="C33" s="34" t="s">
        <v>315</v>
      </c>
      <c r="D33" s="17">
        <f t="shared" si="0"/>
        <v>0.28999999999999998</v>
      </c>
      <c r="E33" s="17">
        <v>0.28999999999999998</v>
      </c>
      <c r="F33" s="17">
        <v>0.28999999999999998</v>
      </c>
    </row>
    <row r="34" spans="1:6" ht="15" customHeight="1" x14ac:dyDescent="0.25">
      <c r="A34" s="19">
        <v>93280</v>
      </c>
      <c r="B34" s="9" t="s">
        <v>348</v>
      </c>
      <c r="C34" s="34" t="s">
        <v>315</v>
      </c>
      <c r="D34" s="17">
        <f t="shared" ref="D34:D50" si="1">IF(ONERA="COM DESONERAÇÃO",E34,F34)</f>
        <v>0.79</v>
      </c>
      <c r="E34" s="17">
        <v>0.79</v>
      </c>
      <c r="F34" s="17">
        <v>0.79</v>
      </c>
    </row>
    <row r="35" spans="1:6" ht="15" customHeight="1" x14ac:dyDescent="0.25">
      <c r="A35" s="19">
        <v>89366</v>
      </c>
      <c r="B35" s="9" t="s">
        <v>349</v>
      </c>
      <c r="C35" s="34" t="s">
        <v>137</v>
      </c>
      <c r="D35" s="17">
        <f t="shared" si="1"/>
        <v>14.37</v>
      </c>
      <c r="E35" s="17">
        <v>13.84</v>
      </c>
      <c r="F35" s="17">
        <v>14.37</v>
      </c>
    </row>
    <row r="36" spans="1:6" ht="15" customHeight="1" x14ac:dyDescent="0.25">
      <c r="A36" s="19">
        <v>89362</v>
      </c>
      <c r="B36" s="9" t="s">
        <v>350</v>
      </c>
      <c r="C36" s="34" t="s">
        <v>137</v>
      </c>
      <c r="D36" s="17">
        <f t="shared" si="1"/>
        <v>7.24</v>
      </c>
      <c r="E36" s="17">
        <v>6.71</v>
      </c>
      <c r="F36" s="17">
        <v>7.24</v>
      </c>
    </row>
    <row r="37" spans="1:6" ht="15" customHeight="1" x14ac:dyDescent="0.25">
      <c r="A37" s="19">
        <v>90780</v>
      </c>
      <c r="B37" s="9" t="s">
        <v>351</v>
      </c>
      <c r="C37" s="34" t="s">
        <v>315</v>
      </c>
      <c r="D37" s="17">
        <f t="shared" si="1"/>
        <v>38.07</v>
      </c>
      <c r="E37" s="17">
        <v>33.17</v>
      </c>
      <c r="F37" s="17">
        <v>38.07</v>
      </c>
    </row>
    <row r="38" spans="1:6" ht="15" customHeight="1" x14ac:dyDescent="0.25">
      <c r="A38" s="19">
        <v>88278</v>
      </c>
      <c r="B38" s="9" t="s">
        <v>352</v>
      </c>
      <c r="C38" s="34" t="s">
        <v>315</v>
      </c>
      <c r="D38" s="17">
        <f t="shared" si="1"/>
        <v>20.56</v>
      </c>
      <c r="E38" s="17">
        <v>18.39</v>
      </c>
      <c r="F38" s="17">
        <v>20.56</v>
      </c>
    </row>
    <row r="39" spans="1:6" ht="15" customHeight="1" x14ac:dyDescent="0.25">
      <c r="A39" s="19">
        <v>88377</v>
      </c>
      <c r="B39" s="9" t="s">
        <v>353</v>
      </c>
      <c r="C39" s="34" t="s">
        <v>315</v>
      </c>
      <c r="D39" s="17">
        <f t="shared" si="1"/>
        <v>19.649999999999999</v>
      </c>
      <c r="E39" s="17">
        <v>17.600000000000001</v>
      </c>
      <c r="F39" s="17">
        <v>19.649999999999999</v>
      </c>
    </row>
    <row r="40" spans="1:6" ht="15" customHeight="1" x14ac:dyDescent="0.25">
      <c r="A40" s="19">
        <v>88295</v>
      </c>
      <c r="B40" s="9" t="s">
        <v>354</v>
      </c>
      <c r="C40" s="34" t="s">
        <v>315</v>
      </c>
      <c r="D40" s="17">
        <f t="shared" si="1"/>
        <v>22.75</v>
      </c>
      <c r="E40" s="17">
        <v>20.28</v>
      </c>
      <c r="F40" s="17">
        <v>22.75</v>
      </c>
    </row>
    <row r="41" spans="1:6" ht="15" customHeight="1" x14ac:dyDescent="0.25">
      <c r="A41" s="19">
        <v>88310</v>
      </c>
      <c r="B41" s="9" t="s">
        <v>355</v>
      </c>
      <c r="C41" s="34" t="s">
        <v>315</v>
      </c>
      <c r="D41" s="17">
        <f t="shared" si="1"/>
        <v>21.91</v>
      </c>
      <c r="E41" s="17">
        <v>19.86</v>
      </c>
      <c r="F41" s="17">
        <v>21.91</v>
      </c>
    </row>
    <row r="42" spans="1:6" ht="15" customHeight="1" x14ac:dyDescent="0.25">
      <c r="A42" s="19">
        <v>89957</v>
      </c>
      <c r="B42" s="9" t="s">
        <v>356</v>
      </c>
      <c r="C42" s="34" t="s">
        <v>137</v>
      </c>
      <c r="D42" s="17">
        <f t="shared" si="1"/>
        <v>114.24</v>
      </c>
      <c r="E42" s="17">
        <v>105.5</v>
      </c>
      <c r="F42" s="17">
        <v>114.24</v>
      </c>
    </row>
    <row r="43" spans="1:6" ht="15" customHeight="1" x14ac:dyDescent="0.25">
      <c r="A43" s="19">
        <v>90443</v>
      </c>
      <c r="B43" s="9" t="s">
        <v>357</v>
      </c>
      <c r="C43" s="34" t="s">
        <v>326</v>
      </c>
      <c r="D43" s="17">
        <f t="shared" si="1"/>
        <v>10.18</v>
      </c>
      <c r="E43" s="17">
        <v>9.15</v>
      </c>
      <c r="F43" s="17">
        <v>10.18</v>
      </c>
    </row>
    <row r="44" spans="1:6" ht="15" customHeight="1" x14ac:dyDescent="0.25">
      <c r="A44" s="19">
        <v>97640</v>
      </c>
      <c r="B44" s="9" t="s">
        <v>358</v>
      </c>
      <c r="C44" s="34" t="s">
        <v>142</v>
      </c>
      <c r="D44" s="17">
        <f t="shared" si="1"/>
        <v>1.35</v>
      </c>
      <c r="E44" s="17">
        <v>1.22</v>
      </c>
      <c r="F44" s="17">
        <v>1.35</v>
      </c>
    </row>
    <row r="45" spans="1:6" ht="15" customHeight="1" x14ac:dyDescent="0.25">
      <c r="A45" s="19">
        <v>97663</v>
      </c>
      <c r="B45" s="9" t="s">
        <v>359</v>
      </c>
      <c r="C45" s="34" t="s">
        <v>137</v>
      </c>
      <c r="D45" s="17">
        <f t="shared" si="1"/>
        <v>9.18</v>
      </c>
      <c r="E45" s="17">
        <v>8.3000000000000007</v>
      </c>
      <c r="F45" s="17">
        <v>9.18</v>
      </c>
    </row>
    <row r="46" spans="1:6" ht="15" customHeight="1" x14ac:dyDescent="0.25">
      <c r="A46" s="19">
        <v>88316</v>
      </c>
      <c r="B46" s="9" t="s">
        <v>360</v>
      </c>
      <c r="C46" s="34" t="s">
        <v>315</v>
      </c>
      <c r="D46" s="17">
        <f t="shared" si="1"/>
        <v>16.329999999999998</v>
      </c>
      <c r="E46" s="17">
        <v>14.86</v>
      </c>
      <c r="F46" s="17">
        <v>16.329999999999998</v>
      </c>
    </row>
    <row r="47" spans="1:6" ht="15" customHeight="1" x14ac:dyDescent="0.25">
      <c r="A47" s="19">
        <v>89395</v>
      </c>
      <c r="B47" s="9" t="s">
        <v>361</v>
      </c>
      <c r="C47" s="34" t="s">
        <v>137</v>
      </c>
      <c r="D47" s="17">
        <f t="shared" si="1"/>
        <v>10.16</v>
      </c>
      <c r="E47" s="17">
        <v>9.4600000000000009</v>
      </c>
      <c r="F47" s="17">
        <v>10.16</v>
      </c>
    </row>
    <row r="48" spans="1:6" ht="15" customHeight="1" x14ac:dyDescent="0.25">
      <c r="A48" s="19">
        <v>88323</v>
      </c>
      <c r="B48" s="9" t="s">
        <v>362</v>
      </c>
      <c r="C48" s="34" t="s">
        <v>315</v>
      </c>
      <c r="D48" s="17">
        <f t="shared" si="1"/>
        <v>23.51</v>
      </c>
      <c r="E48" s="17">
        <v>21.07</v>
      </c>
      <c r="F48" s="17">
        <v>23.51</v>
      </c>
    </row>
    <row r="49" spans="1:6" ht="15" customHeight="1" x14ac:dyDescent="0.25">
      <c r="A49" s="19">
        <v>94213</v>
      </c>
      <c r="B49" s="9" t="s">
        <v>363</v>
      </c>
      <c r="C49" s="34" t="s">
        <v>142</v>
      </c>
      <c r="D49" s="17">
        <f t="shared" si="1"/>
        <v>84.26</v>
      </c>
      <c r="E49" s="17">
        <v>83.88</v>
      </c>
      <c r="F49" s="17">
        <v>84.26</v>
      </c>
    </row>
    <row r="50" spans="1:6" ht="15" customHeight="1" x14ac:dyDescent="0.25">
      <c r="A50" s="19">
        <v>89356</v>
      </c>
      <c r="B50" s="9" t="s">
        <v>364</v>
      </c>
      <c r="C50" s="34" t="s">
        <v>326</v>
      </c>
      <c r="D50" s="17">
        <f t="shared" si="1"/>
        <v>17.829999999999998</v>
      </c>
      <c r="E50" s="17">
        <v>16.53</v>
      </c>
      <c r="F50" s="17">
        <v>17.829999999999998</v>
      </c>
    </row>
  </sheetData>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election activeCell="B2" sqref="B2"/>
    </sheetView>
  </sheetViews>
  <sheetFormatPr defaultRowHeight="15" customHeight="1" x14ac:dyDescent="0.25"/>
  <cols>
    <col min="1" max="1" width="17.140625" style="2" customWidth="1"/>
    <col min="2" max="2" width="102.85546875" style="2" customWidth="1"/>
    <col min="3" max="3" width="11.42578125" style="2" customWidth="1"/>
    <col min="4" max="6" width="17.140625" style="2" customWidth="1"/>
  </cols>
  <sheetData>
    <row r="1" spans="1:6" ht="15" customHeight="1" x14ac:dyDescent="0.25">
      <c r="A1" s="6" t="s">
        <v>306</v>
      </c>
      <c r="B1" s="6" t="s">
        <v>307</v>
      </c>
      <c r="C1" s="6" t="s">
        <v>308</v>
      </c>
      <c r="D1" s="6" t="s">
        <v>309</v>
      </c>
      <c r="E1" s="6" t="s">
        <v>310</v>
      </c>
      <c r="F1" s="6" t="s">
        <v>311</v>
      </c>
    </row>
    <row r="2" spans="1:6" ht="15" customHeight="1" x14ac:dyDescent="0.25">
      <c r="A2" s="19">
        <v>122</v>
      </c>
      <c r="B2" s="9" t="s">
        <v>365</v>
      </c>
      <c r="C2" s="34" t="s">
        <v>137</v>
      </c>
      <c r="D2" s="17">
        <f t="shared" ref="D2:D33" si="0">IF(ONERA="COM DESONERAÇÃO",E2,F2)</f>
        <v>59.86</v>
      </c>
      <c r="E2" s="17">
        <v>59.86</v>
      </c>
      <c r="F2" s="17">
        <v>59.86</v>
      </c>
    </row>
    <row r="3" spans="1:6" ht="15" customHeight="1" x14ac:dyDescent="0.25">
      <c r="A3" s="19">
        <v>37370</v>
      </c>
      <c r="B3" s="9" t="s">
        <v>366</v>
      </c>
      <c r="C3" s="34" t="s">
        <v>315</v>
      </c>
      <c r="D3" s="17">
        <f t="shared" si="0"/>
        <v>2.29</v>
      </c>
      <c r="E3" s="17">
        <v>2.29</v>
      </c>
      <c r="F3" s="17">
        <v>2.29</v>
      </c>
    </row>
    <row r="4" spans="1:6" ht="15" customHeight="1" x14ac:dyDescent="0.25">
      <c r="A4" s="19">
        <v>370</v>
      </c>
      <c r="B4" s="9" t="s">
        <v>367</v>
      </c>
      <c r="C4" s="34" t="s">
        <v>147</v>
      </c>
      <c r="D4" s="17">
        <f t="shared" si="0"/>
        <v>70</v>
      </c>
      <c r="E4" s="17">
        <v>70</v>
      </c>
      <c r="F4" s="17">
        <v>70</v>
      </c>
    </row>
    <row r="5" spans="1:6" ht="15" customHeight="1" x14ac:dyDescent="0.25">
      <c r="A5" s="19">
        <v>246</v>
      </c>
      <c r="B5" s="9" t="s">
        <v>368</v>
      </c>
      <c r="C5" s="34" t="s">
        <v>315</v>
      </c>
      <c r="D5" s="17">
        <f t="shared" si="0"/>
        <v>10.57</v>
      </c>
      <c r="E5" s="17">
        <v>9.1300000000000008</v>
      </c>
      <c r="F5" s="17">
        <v>10.57</v>
      </c>
    </row>
    <row r="6" spans="1:6" ht="15" customHeight="1" x14ac:dyDescent="0.25">
      <c r="A6" s="19">
        <v>10535</v>
      </c>
      <c r="B6" s="9" t="s">
        <v>369</v>
      </c>
      <c r="C6" s="34" t="s">
        <v>137</v>
      </c>
      <c r="D6" s="17">
        <f t="shared" si="0"/>
        <v>4871.5</v>
      </c>
      <c r="E6" s="17">
        <v>4871.5</v>
      </c>
      <c r="F6" s="17">
        <v>4871.5</v>
      </c>
    </row>
    <row r="7" spans="1:6" ht="15" customHeight="1" x14ac:dyDescent="0.25">
      <c r="A7" s="19">
        <v>1213</v>
      </c>
      <c r="B7" s="9" t="s">
        <v>370</v>
      </c>
      <c r="C7" s="34" t="s">
        <v>315</v>
      </c>
      <c r="D7" s="17">
        <f t="shared" si="0"/>
        <v>14.91</v>
      </c>
      <c r="E7" s="17">
        <v>12.88</v>
      </c>
      <c r="F7" s="17">
        <v>14.91</v>
      </c>
    </row>
    <row r="8" spans="1:6" ht="15" customHeight="1" x14ac:dyDescent="0.25">
      <c r="A8" s="19">
        <v>1379</v>
      </c>
      <c r="B8" s="9" t="s">
        <v>371</v>
      </c>
      <c r="C8" s="34" t="s">
        <v>372</v>
      </c>
      <c r="D8" s="17">
        <f t="shared" si="0"/>
        <v>0.72</v>
      </c>
      <c r="E8" s="17">
        <v>0.72</v>
      </c>
      <c r="F8" s="17">
        <v>0.72</v>
      </c>
    </row>
    <row r="9" spans="1:6" ht="15" customHeight="1" x14ac:dyDescent="0.25">
      <c r="A9" s="19">
        <v>2436</v>
      </c>
      <c r="B9" s="9" t="s">
        <v>373</v>
      </c>
      <c r="C9" s="34" t="s">
        <v>315</v>
      </c>
      <c r="D9" s="17">
        <f t="shared" si="0"/>
        <v>14.91</v>
      </c>
      <c r="E9" s="17">
        <v>12.88</v>
      </c>
      <c r="F9" s="17">
        <v>14.91</v>
      </c>
    </row>
    <row r="10" spans="1:6" ht="15" customHeight="1" x14ac:dyDescent="0.25">
      <c r="A10" s="19">
        <v>2696</v>
      </c>
      <c r="B10" s="9" t="s">
        <v>374</v>
      </c>
      <c r="C10" s="34" t="s">
        <v>315</v>
      </c>
      <c r="D10" s="17">
        <f t="shared" si="0"/>
        <v>14.91</v>
      </c>
      <c r="E10" s="17">
        <v>12.88</v>
      </c>
      <c r="F10" s="17">
        <v>14.91</v>
      </c>
    </row>
    <row r="11" spans="1:6" ht="15" customHeight="1" x14ac:dyDescent="0.25">
      <c r="A11" s="19">
        <v>2705</v>
      </c>
      <c r="B11" s="9" t="s">
        <v>375</v>
      </c>
      <c r="C11" s="34" t="s">
        <v>376</v>
      </c>
      <c r="D11" s="17">
        <f t="shared" si="0"/>
        <v>1.02</v>
      </c>
      <c r="E11" s="17">
        <v>1.02</v>
      </c>
      <c r="F11" s="17">
        <v>1.02</v>
      </c>
    </row>
    <row r="12" spans="1:6" ht="15" customHeight="1" x14ac:dyDescent="0.25">
      <c r="A12" s="19">
        <v>2706</v>
      </c>
      <c r="B12" s="9" t="s">
        <v>377</v>
      </c>
      <c r="C12" s="34" t="s">
        <v>315</v>
      </c>
      <c r="D12" s="17">
        <f t="shared" si="0"/>
        <v>90.04</v>
      </c>
      <c r="E12" s="17">
        <v>77.790000000000006</v>
      </c>
      <c r="F12" s="17">
        <v>90.04</v>
      </c>
    </row>
    <row r="13" spans="1:6" ht="15" customHeight="1" x14ac:dyDescent="0.25">
      <c r="A13" s="19">
        <v>43483</v>
      </c>
      <c r="B13" s="9" t="s">
        <v>378</v>
      </c>
      <c r="C13" s="34" t="s">
        <v>315</v>
      </c>
      <c r="D13" s="17">
        <f t="shared" si="0"/>
        <v>1.26</v>
      </c>
      <c r="E13" s="17">
        <v>1.26</v>
      </c>
      <c r="F13" s="17">
        <v>1.26</v>
      </c>
    </row>
    <row r="14" spans="1:6" ht="15" customHeight="1" x14ac:dyDescent="0.25">
      <c r="A14" s="19">
        <v>43484</v>
      </c>
      <c r="B14" s="9" t="s">
        <v>379</v>
      </c>
      <c r="C14" s="34" t="s">
        <v>315</v>
      </c>
      <c r="D14" s="17">
        <f t="shared" si="0"/>
        <v>1.07</v>
      </c>
      <c r="E14" s="17">
        <v>1.07</v>
      </c>
      <c r="F14" s="17">
        <v>1.07</v>
      </c>
    </row>
    <row r="15" spans="1:6" ht="15" customHeight="1" x14ac:dyDescent="0.25">
      <c r="A15" s="19">
        <v>43485</v>
      </c>
      <c r="B15" s="9" t="s">
        <v>380</v>
      </c>
      <c r="C15" s="34" t="s">
        <v>315</v>
      </c>
      <c r="D15" s="17">
        <f t="shared" si="0"/>
        <v>0.94</v>
      </c>
      <c r="E15" s="17">
        <v>0.94</v>
      </c>
      <c r="F15" s="17">
        <v>0.94</v>
      </c>
    </row>
    <row r="16" spans="1:6" ht="15" customHeight="1" x14ac:dyDescent="0.25">
      <c r="A16" s="19">
        <v>43487</v>
      </c>
      <c r="B16" s="9" t="s">
        <v>381</v>
      </c>
      <c r="C16" s="34" t="s">
        <v>315</v>
      </c>
      <c r="D16" s="17">
        <f t="shared" si="0"/>
        <v>1.08</v>
      </c>
      <c r="E16" s="17">
        <v>1.08</v>
      </c>
      <c r="F16" s="17">
        <v>1.08</v>
      </c>
    </row>
    <row r="17" spans="1:6" ht="15" customHeight="1" x14ac:dyDescent="0.25">
      <c r="A17" s="19">
        <v>43486</v>
      </c>
      <c r="B17" s="9" t="s">
        <v>382</v>
      </c>
      <c r="C17" s="34" t="s">
        <v>315</v>
      </c>
      <c r="D17" s="17">
        <f t="shared" si="0"/>
        <v>0.66</v>
      </c>
      <c r="E17" s="17">
        <v>0.66</v>
      </c>
      <c r="F17" s="17">
        <v>0.66</v>
      </c>
    </row>
    <row r="18" spans="1:6" ht="15" customHeight="1" x14ac:dyDescent="0.25">
      <c r="A18" s="19">
        <v>43488</v>
      </c>
      <c r="B18" s="9" t="s">
        <v>383</v>
      </c>
      <c r="C18" s="34" t="s">
        <v>315</v>
      </c>
      <c r="D18" s="17">
        <f t="shared" si="0"/>
        <v>0.76</v>
      </c>
      <c r="E18" s="17">
        <v>0.76</v>
      </c>
      <c r="F18" s="17">
        <v>0.76</v>
      </c>
    </row>
    <row r="19" spans="1:6" ht="15" customHeight="1" x14ac:dyDescent="0.25">
      <c r="A19" s="19">
        <v>43490</v>
      </c>
      <c r="B19" s="9" t="s">
        <v>384</v>
      </c>
      <c r="C19" s="34" t="s">
        <v>315</v>
      </c>
      <c r="D19" s="17">
        <f t="shared" si="0"/>
        <v>1.5</v>
      </c>
      <c r="E19" s="17">
        <v>1.5</v>
      </c>
      <c r="F19" s="17">
        <v>1.5</v>
      </c>
    </row>
    <row r="20" spans="1:6" ht="15" customHeight="1" x14ac:dyDescent="0.25">
      <c r="A20" s="19">
        <v>43491</v>
      </c>
      <c r="B20" s="9" t="s">
        <v>385</v>
      </c>
      <c r="C20" s="34" t="s">
        <v>315</v>
      </c>
      <c r="D20" s="17">
        <f t="shared" si="0"/>
        <v>1.1499999999999999</v>
      </c>
      <c r="E20" s="17">
        <v>1.1499999999999999</v>
      </c>
      <c r="F20" s="17">
        <v>1.1499999999999999</v>
      </c>
    </row>
    <row r="21" spans="1:6" ht="15" customHeight="1" x14ac:dyDescent="0.25">
      <c r="A21" s="19">
        <v>37372</v>
      </c>
      <c r="B21" s="9" t="s">
        <v>386</v>
      </c>
      <c r="C21" s="34" t="s">
        <v>315</v>
      </c>
      <c r="D21" s="17">
        <f t="shared" si="0"/>
        <v>0.81</v>
      </c>
      <c r="E21" s="17">
        <v>0.81</v>
      </c>
      <c r="F21" s="17">
        <v>0.81</v>
      </c>
    </row>
    <row r="22" spans="1:6" ht="15" customHeight="1" x14ac:dyDescent="0.25">
      <c r="A22" s="19">
        <v>43459</v>
      </c>
      <c r="B22" s="9" t="s">
        <v>387</v>
      </c>
      <c r="C22" s="34" t="s">
        <v>315</v>
      </c>
      <c r="D22" s="17">
        <f t="shared" si="0"/>
        <v>0.45</v>
      </c>
      <c r="E22" s="17">
        <v>0.45</v>
      </c>
      <c r="F22" s="17">
        <v>0.45</v>
      </c>
    </row>
    <row r="23" spans="1:6" ht="15" customHeight="1" x14ac:dyDescent="0.25">
      <c r="A23" s="19">
        <v>43460</v>
      </c>
      <c r="B23" s="9" t="s">
        <v>388</v>
      </c>
      <c r="C23" s="34" t="s">
        <v>315</v>
      </c>
      <c r="D23" s="17">
        <f t="shared" si="0"/>
        <v>0.78</v>
      </c>
      <c r="E23" s="17">
        <v>0.78</v>
      </c>
      <c r="F23" s="17">
        <v>0.78</v>
      </c>
    </row>
    <row r="24" spans="1:6" ht="15" customHeight="1" x14ac:dyDescent="0.25">
      <c r="A24" s="19">
        <v>43461</v>
      </c>
      <c r="B24" s="9" t="s">
        <v>389</v>
      </c>
      <c r="C24" s="34" t="s">
        <v>315</v>
      </c>
      <c r="D24" s="17">
        <f t="shared" si="0"/>
        <v>0.32</v>
      </c>
      <c r="E24" s="17">
        <v>0.32</v>
      </c>
      <c r="F24" s="17">
        <v>0.32</v>
      </c>
    </row>
    <row r="25" spans="1:6" ht="15" customHeight="1" x14ac:dyDescent="0.25">
      <c r="A25" s="19">
        <v>43463</v>
      </c>
      <c r="B25" s="9" t="s">
        <v>390</v>
      </c>
      <c r="C25" s="34" t="s">
        <v>315</v>
      </c>
      <c r="D25" s="17">
        <f t="shared" si="0"/>
        <v>0.1</v>
      </c>
      <c r="E25" s="17">
        <v>0.1</v>
      </c>
      <c r="F25" s="17">
        <v>0.1</v>
      </c>
    </row>
    <row r="26" spans="1:6" ht="15" customHeight="1" x14ac:dyDescent="0.25">
      <c r="A26" s="19">
        <v>43462</v>
      </c>
      <c r="B26" s="9" t="s">
        <v>391</v>
      </c>
      <c r="C26" s="34" t="s">
        <v>315</v>
      </c>
      <c r="D26" s="17">
        <f t="shared" si="0"/>
        <v>0.01</v>
      </c>
      <c r="E26" s="17">
        <v>0.01</v>
      </c>
      <c r="F26" s="17">
        <v>0.01</v>
      </c>
    </row>
    <row r="27" spans="1:6" ht="15" customHeight="1" x14ac:dyDescent="0.25">
      <c r="A27" s="19">
        <v>43464</v>
      </c>
      <c r="B27" s="9" t="s">
        <v>392</v>
      </c>
      <c r="C27" s="34" t="s">
        <v>315</v>
      </c>
      <c r="D27" s="17">
        <f t="shared" si="0"/>
        <v>0.01</v>
      </c>
      <c r="E27" s="17">
        <v>0.01</v>
      </c>
      <c r="F27" s="17">
        <v>0.01</v>
      </c>
    </row>
    <row r="28" spans="1:6" ht="15" customHeight="1" x14ac:dyDescent="0.25">
      <c r="A28" s="19">
        <v>43466</v>
      </c>
      <c r="B28" s="9" t="s">
        <v>393</v>
      </c>
      <c r="C28" s="34" t="s">
        <v>315</v>
      </c>
      <c r="D28" s="17">
        <f t="shared" si="0"/>
        <v>1.48</v>
      </c>
      <c r="E28" s="17">
        <v>1.48</v>
      </c>
      <c r="F28" s="17">
        <v>1.48</v>
      </c>
    </row>
    <row r="29" spans="1:6" ht="15" customHeight="1" x14ac:dyDescent="0.25">
      <c r="A29" s="19">
        <v>43467</v>
      </c>
      <c r="B29" s="9" t="s">
        <v>394</v>
      </c>
      <c r="C29" s="34" t="s">
        <v>315</v>
      </c>
      <c r="D29" s="17">
        <f t="shared" si="0"/>
        <v>0.56000000000000005</v>
      </c>
      <c r="E29" s="17">
        <v>0.56000000000000005</v>
      </c>
      <c r="F29" s="17">
        <v>0.56000000000000005</v>
      </c>
    </row>
    <row r="30" spans="1:6" ht="15" customHeight="1" x14ac:dyDescent="0.25">
      <c r="A30" s="19">
        <v>36487</v>
      </c>
      <c r="B30" s="9" t="s">
        <v>395</v>
      </c>
      <c r="C30" s="34" t="s">
        <v>137</v>
      </c>
      <c r="D30" s="17">
        <f t="shared" si="0"/>
        <v>4874.92</v>
      </c>
      <c r="E30" s="17">
        <v>4874.92</v>
      </c>
      <c r="F30" s="17">
        <v>4874.92</v>
      </c>
    </row>
    <row r="31" spans="1:6" ht="15" customHeight="1" x14ac:dyDescent="0.25">
      <c r="A31" s="19">
        <v>11029</v>
      </c>
      <c r="B31" s="9" t="s">
        <v>396</v>
      </c>
      <c r="C31" s="34" t="s">
        <v>397</v>
      </c>
      <c r="D31" s="17">
        <f t="shared" si="0"/>
        <v>2.37</v>
      </c>
      <c r="E31" s="17">
        <v>2.37</v>
      </c>
      <c r="F31" s="17">
        <v>2.37</v>
      </c>
    </row>
    <row r="32" spans="1:6" ht="15" customHeight="1" x14ac:dyDescent="0.25">
      <c r="A32" s="19">
        <v>3529</v>
      </c>
      <c r="B32" s="9" t="s">
        <v>398</v>
      </c>
      <c r="C32" s="34" t="s">
        <v>137</v>
      </c>
      <c r="D32" s="17">
        <f t="shared" si="0"/>
        <v>0.8</v>
      </c>
      <c r="E32" s="17">
        <v>0.8</v>
      </c>
      <c r="F32" s="17">
        <v>0.8</v>
      </c>
    </row>
    <row r="33" spans="1:6" ht="15" customHeight="1" x14ac:dyDescent="0.25">
      <c r="A33" s="19">
        <v>3524</v>
      </c>
      <c r="B33" s="9" t="s">
        <v>399</v>
      </c>
      <c r="C33" s="34" t="s">
        <v>137</v>
      </c>
      <c r="D33" s="17">
        <f t="shared" si="0"/>
        <v>7.93</v>
      </c>
      <c r="E33" s="17">
        <v>7.93</v>
      </c>
      <c r="F33" s="17">
        <v>7.93</v>
      </c>
    </row>
    <row r="34" spans="1:6" ht="15" customHeight="1" x14ac:dyDescent="0.25">
      <c r="A34" s="19">
        <v>38383</v>
      </c>
      <c r="B34" s="9" t="s">
        <v>400</v>
      </c>
      <c r="C34" s="34" t="s">
        <v>137</v>
      </c>
      <c r="D34" s="17">
        <f t="shared" ref="D34:D57" si="1">IF(ONERA="COM DESONERAÇÃO",E34,F34)</f>
        <v>1.91</v>
      </c>
      <c r="E34" s="17">
        <v>1.91</v>
      </c>
      <c r="F34" s="17">
        <v>1.91</v>
      </c>
    </row>
    <row r="35" spans="1:6" ht="15" customHeight="1" x14ac:dyDescent="0.25">
      <c r="A35" s="16" t="s">
        <v>148</v>
      </c>
      <c r="B35" s="9" t="s">
        <v>401</v>
      </c>
      <c r="C35" s="34" t="s">
        <v>137</v>
      </c>
      <c r="D35" s="17">
        <f t="shared" si="1"/>
        <v>250</v>
      </c>
      <c r="E35" s="17">
        <v>250</v>
      </c>
      <c r="F35" s="17">
        <v>250</v>
      </c>
    </row>
    <row r="36" spans="1:6" ht="15" customHeight="1" x14ac:dyDescent="0.25">
      <c r="A36" s="19">
        <v>3811</v>
      </c>
      <c r="B36" s="9" t="s">
        <v>402</v>
      </c>
      <c r="C36" s="34" t="s">
        <v>137</v>
      </c>
      <c r="D36" s="17">
        <f t="shared" si="1"/>
        <v>60.11</v>
      </c>
      <c r="E36" s="17">
        <v>60.11</v>
      </c>
      <c r="F36" s="17">
        <v>60.11</v>
      </c>
    </row>
    <row r="37" spans="1:6" ht="15" customHeight="1" x14ac:dyDescent="0.25">
      <c r="A37" s="19">
        <v>4069</v>
      </c>
      <c r="B37" s="9" t="s">
        <v>403</v>
      </c>
      <c r="C37" s="34" t="s">
        <v>315</v>
      </c>
      <c r="D37" s="17">
        <f t="shared" si="1"/>
        <v>35.42</v>
      </c>
      <c r="E37" s="17">
        <v>30.6</v>
      </c>
      <c r="F37" s="17">
        <v>35.42</v>
      </c>
    </row>
    <row r="38" spans="1:6" ht="15" customHeight="1" x14ac:dyDescent="0.25">
      <c r="A38" s="19">
        <v>44497</v>
      </c>
      <c r="B38" s="9" t="s">
        <v>404</v>
      </c>
      <c r="C38" s="34" t="s">
        <v>315</v>
      </c>
      <c r="D38" s="17">
        <f t="shared" si="1"/>
        <v>15.8</v>
      </c>
      <c r="E38" s="17">
        <v>13.65</v>
      </c>
      <c r="F38" s="17">
        <v>15.8</v>
      </c>
    </row>
    <row r="39" spans="1:6" ht="15" customHeight="1" x14ac:dyDescent="0.25">
      <c r="A39" s="19">
        <v>37666</v>
      </c>
      <c r="B39" s="9" t="s">
        <v>405</v>
      </c>
      <c r="C39" s="34" t="s">
        <v>315</v>
      </c>
      <c r="D39" s="17">
        <f t="shared" si="1"/>
        <v>14.93</v>
      </c>
      <c r="E39" s="17">
        <v>12.9</v>
      </c>
      <c r="F39" s="17">
        <v>14.93</v>
      </c>
    </row>
    <row r="40" spans="1:6" ht="15" customHeight="1" x14ac:dyDescent="0.25">
      <c r="A40" s="19">
        <v>4253</v>
      </c>
      <c r="B40" s="9" t="s">
        <v>406</v>
      </c>
      <c r="C40" s="34" t="s">
        <v>315</v>
      </c>
      <c r="D40" s="17">
        <f t="shared" si="1"/>
        <v>17.899999999999999</v>
      </c>
      <c r="E40" s="17">
        <v>15.46</v>
      </c>
      <c r="F40" s="17">
        <v>17.899999999999999</v>
      </c>
    </row>
    <row r="41" spans="1:6" ht="15" customHeight="1" x14ac:dyDescent="0.25">
      <c r="A41" s="19">
        <v>4721</v>
      </c>
      <c r="B41" s="9" t="s">
        <v>407</v>
      </c>
      <c r="C41" s="34" t="s">
        <v>147</v>
      </c>
      <c r="D41" s="17">
        <f t="shared" si="1"/>
        <v>149.21</v>
      </c>
      <c r="E41" s="17">
        <v>149.21</v>
      </c>
      <c r="F41" s="17">
        <v>149.21</v>
      </c>
    </row>
    <row r="42" spans="1:6" ht="15" customHeight="1" x14ac:dyDescent="0.25">
      <c r="A42" s="19">
        <v>4783</v>
      </c>
      <c r="B42" s="9" t="s">
        <v>408</v>
      </c>
      <c r="C42" s="34" t="s">
        <v>315</v>
      </c>
      <c r="D42" s="17">
        <f t="shared" si="1"/>
        <v>14.91</v>
      </c>
      <c r="E42" s="17">
        <v>12.88</v>
      </c>
      <c r="F42" s="17">
        <v>14.91</v>
      </c>
    </row>
    <row r="43" spans="1:6" ht="15" customHeight="1" x14ac:dyDescent="0.25">
      <c r="A43" s="19">
        <v>4813</v>
      </c>
      <c r="B43" s="9" t="s">
        <v>409</v>
      </c>
      <c r="C43" s="34" t="s">
        <v>142</v>
      </c>
      <c r="D43" s="17">
        <f t="shared" si="1"/>
        <v>225</v>
      </c>
      <c r="E43" s="17">
        <v>225</v>
      </c>
      <c r="F43" s="17">
        <v>225</v>
      </c>
    </row>
    <row r="44" spans="1:6" ht="15" customHeight="1" x14ac:dyDescent="0.25">
      <c r="A44" s="19">
        <v>4491</v>
      </c>
      <c r="B44" s="9" t="s">
        <v>410</v>
      </c>
      <c r="C44" s="34" t="s">
        <v>326</v>
      </c>
      <c r="D44" s="17">
        <f t="shared" si="1"/>
        <v>9.23</v>
      </c>
      <c r="E44" s="17">
        <v>9.23</v>
      </c>
      <c r="F44" s="17">
        <v>9.23</v>
      </c>
    </row>
    <row r="45" spans="1:6" ht="15" customHeight="1" x14ac:dyDescent="0.25">
      <c r="A45" s="19">
        <v>5075</v>
      </c>
      <c r="B45" s="9" t="s">
        <v>411</v>
      </c>
      <c r="C45" s="34" t="s">
        <v>372</v>
      </c>
      <c r="D45" s="17">
        <f t="shared" si="1"/>
        <v>21.93</v>
      </c>
      <c r="E45" s="17">
        <v>21.93</v>
      </c>
      <c r="F45" s="17">
        <v>21.93</v>
      </c>
    </row>
    <row r="46" spans="1:6" ht="15" customHeight="1" x14ac:dyDescent="0.25">
      <c r="A46" s="16" t="s">
        <v>143</v>
      </c>
      <c r="B46" s="9" t="s">
        <v>412</v>
      </c>
      <c r="C46" s="34" t="s">
        <v>372</v>
      </c>
      <c r="D46" s="17">
        <f t="shared" si="1"/>
        <v>9.08</v>
      </c>
      <c r="E46" s="17">
        <v>9.08</v>
      </c>
      <c r="F46" s="17">
        <v>9.08</v>
      </c>
    </row>
    <row r="47" spans="1:6" ht="15" customHeight="1" x14ac:dyDescent="0.25">
      <c r="A47" s="19">
        <v>4417</v>
      </c>
      <c r="B47" s="9" t="s">
        <v>413</v>
      </c>
      <c r="C47" s="34" t="s">
        <v>326</v>
      </c>
      <c r="D47" s="17">
        <f t="shared" si="1"/>
        <v>5.17</v>
      </c>
      <c r="E47" s="17">
        <v>5.17</v>
      </c>
      <c r="F47" s="17">
        <v>5.17</v>
      </c>
    </row>
    <row r="48" spans="1:6" ht="15" customHeight="1" x14ac:dyDescent="0.25">
      <c r="A48" s="19">
        <v>37373</v>
      </c>
      <c r="B48" s="9" t="s">
        <v>414</v>
      </c>
      <c r="C48" s="34" t="s">
        <v>315</v>
      </c>
      <c r="D48" s="17">
        <f t="shared" si="1"/>
        <v>0.06</v>
      </c>
      <c r="E48" s="17">
        <v>0.06</v>
      </c>
      <c r="F48" s="17">
        <v>0.06</v>
      </c>
    </row>
    <row r="49" spans="1:6" ht="15" customHeight="1" x14ac:dyDescent="0.25">
      <c r="A49" s="19">
        <v>6111</v>
      </c>
      <c r="B49" s="9" t="s">
        <v>415</v>
      </c>
      <c r="C49" s="34" t="s">
        <v>315</v>
      </c>
      <c r="D49" s="17">
        <f t="shared" si="1"/>
        <v>10.59</v>
      </c>
      <c r="E49" s="17">
        <v>9.15</v>
      </c>
      <c r="F49" s="17">
        <v>10.59</v>
      </c>
    </row>
    <row r="50" spans="1:6" ht="15" customHeight="1" x14ac:dyDescent="0.25">
      <c r="A50" s="19">
        <v>20083</v>
      </c>
      <c r="B50" s="9" t="s">
        <v>416</v>
      </c>
      <c r="C50" s="34" t="s">
        <v>137</v>
      </c>
      <c r="D50" s="17">
        <f t="shared" si="1"/>
        <v>67.819999999999993</v>
      </c>
      <c r="E50" s="17">
        <v>67.819999999999993</v>
      </c>
      <c r="F50" s="17">
        <v>67.819999999999993</v>
      </c>
    </row>
    <row r="51" spans="1:6" ht="15" customHeight="1" x14ac:dyDescent="0.25">
      <c r="A51" s="19">
        <v>7139</v>
      </c>
      <c r="B51" s="9" t="s">
        <v>417</v>
      </c>
      <c r="C51" s="34" t="s">
        <v>137</v>
      </c>
      <c r="D51" s="17">
        <f t="shared" si="1"/>
        <v>1.36</v>
      </c>
      <c r="E51" s="17">
        <v>1.36</v>
      </c>
      <c r="F51" s="17">
        <v>1.36</v>
      </c>
    </row>
    <row r="52" spans="1:6" ht="15" customHeight="1" x14ac:dyDescent="0.25">
      <c r="A52" s="19">
        <v>7243</v>
      </c>
      <c r="B52" s="9" t="s">
        <v>418</v>
      </c>
      <c r="C52" s="34" t="s">
        <v>142</v>
      </c>
      <c r="D52" s="17">
        <f t="shared" si="1"/>
        <v>60.61</v>
      </c>
      <c r="E52" s="17">
        <v>60.61</v>
      </c>
      <c r="F52" s="17">
        <v>60.61</v>
      </c>
    </row>
    <row r="53" spans="1:6" ht="15" customHeight="1" x14ac:dyDescent="0.25">
      <c r="A53" s="19">
        <v>12869</v>
      </c>
      <c r="B53" s="9" t="s">
        <v>419</v>
      </c>
      <c r="C53" s="34" t="s">
        <v>315</v>
      </c>
      <c r="D53" s="17">
        <f t="shared" si="1"/>
        <v>17.79</v>
      </c>
      <c r="E53" s="17">
        <v>15.37</v>
      </c>
      <c r="F53" s="17">
        <v>17.79</v>
      </c>
    </row>
    <row r="54" spans="1:6" ht="15" customHeight="1" x14ac:dyDescent="0.25">
      <c r="A54" s="19">
        <v>7356</v>
      </c>
      <c r="B54" s="9" t="s">
        <v>420</v>
      </c>
      <c r="C54" s="34" t="s">
        <v>214</v>
      </c>
      <c r="D54" s="17">
        <f t="shared" si="1"/>
        <v>21.99</v>
      </c>
      <c r="E54" s="17">
        <v>21.99</v>
      </c>
      <c r="F54" s="17">
        <v>21.99</v>
      </c>
    </row>
    <row r="55" spans="1:6" ht="15" customHeight="1" x14ac:dyDescent="0.25">
      <c r="A55" s="19">
        <v>37371</v>
      </c>
      <c r="B55" s="9" t="s">
        <v>421</v>
      </c>
      <c r="C55" s="34" t="s">
        <v>315</v>
      </c>
      <c r="D55" s="17">
        <f t="shared" si="1"/>
        <v>0.69</v>
      </c>
      <c r="E55" s="17">
        <v>0.69</v>
      </c>
      <c r="F55" s="17">
        <v>0.69</v>
      </c>
    </row>
    <row r="56" spans="1:6" ht="15" customHeight="1" x14ac:dyDescent="0.25">
      <c r="A56" s="19">
        <v>9868</v>
      </c>
      <c r="B56" s="9" t="s">
        <v>422</v>
      </c>
      <c r="C56" s="34" t="s">
        <v>326</v>
      </c>
      <c r="D56" s="17">
        <f t="shared" si="1"/>
        <v>4.0599999999999996</v>
      </c>
      <c r="E56" s="17">
        <v>4.0599999999999996</v>
      </c>
      <c r="F56" s="17">
        <v>4.0599999999999996</v>
      </c>
    </row>
    <row r="57" spans="1:6" ht="15" customHeight="1" x14ac:dyDescent="0.25">
      <c r="A57" s="16" t="s">
        <v>144</v>
      </c>
      <c r="B57" s="9" t="s">
        <v>423</v>
      </c>
      <c r="C57" s="34" t="s">
        <v>137</v>
      </c>
      <c r="D57" s="17">
        <f t="shared" si="1"/>
        <v>11.78</v>
      </c>
      <c r="E57" s="17">
        <v>11.78</v>
      </c>
      <c r="F57" s="17">
        <v>11.78</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tabSelected="1" view="pageBreakPreview" zoomScaleNormal="100" zoomScaleSheetLayoutView="100" workbookViewId="0">
      <selection sqref="A1:K1"/>
    </sheetView>
  </sheetViews>
  <sheetFormatPr defaultRowHeight="15" customHeight="1" x14ac:dyDescent="0.25"/>
  <cols>
    <col min="1" max="1" width="19.5703125" style="1" customWidth="1"/>
    <col min="2" max="2" width="14.7109375" style="1" customWidth="1"/>
    <col min="3" max="3" width="4" style="1" customWidth="1"/>
    <col min="4" max="4" width="8" style="1" customWidth="1"/>
    <col min="5" max="5" width="21.85546875" style="1" customWidth="1"/>
    <col min="6" max="6" width="37.85546875" style="1" customWidth="1"/>
    <col min="7" max="7" width="25.7109375" style="1" customWidth="1"/>
    <col min="8" max="8" width="12" style="1" customWidth="1"/>
    <col min="9" max="9" width="17.7109375" style="1" customWidth="1"/>
    <col min="10" max="10" width="21.5703125" style="1" customWidth="1"/>
    <col min="11" max="11" width="23.5703125" style="1" customWidth="1"/>
    <col min="12" max="16384" width="9.140625" style="1"/>
  </cols>
  <sheetData>
    <row r="1" spans="1:11" ht="21" customHeight="1" x14ac:dyDescent="0.25">
      <c r="A1" s="49" t="str">
        <f>CIDADE</f>
        <v>MUNICÍPIO DE SAO RAIMUNDO NONATO - PI</v>
      </c>
      <c r="B1" s="49"/>
      <c r="C1" s="49"/>
      <c r="D1" s="49"/>
      <c r="E1" s="49"/>
      <c r="F1" s="49"/>
      <c r="G1" s="49"/>
      <c r="H1" s="49"/>
      <c r="I1" s="49"/>
      <c r="J1" s="49"/>
      <c r="K1" s="49"/>
    </row>
    <row r="2" spans="1:11" ht="21" customHeight="1" x14ac:dyDescent="0.25">
      <c r="A2" s="49" t="str">
        <f>OBRA</f>
        <v>ESPAÇO DA CIDADANIA</v>
      </c>
      <c r="B2" s="49"/>
      <c r="C2" s="49"/>
      <c r="D2" s="49"/>
      <c r="E2" s="49"/>
      <c r="F2" s="49"/>
      <c r="G2" s="49"/>
      <c r="H2" s="49"/>
      <c r="I2" s="49"/>
      <c r="J2" s="49"/>
      <c r="K2" s="49"/>
    </row>
    <row r="3" spans="1:11" ht="21" customHeight="1" x14ac:dyDescent="0.25">
      <c r="A3" s="49" t="s">
        <v>19</v>
      </c>
      <c r="B3" s="49"/>
      <c r="C3" s="49"/>
      <c r="D3" s="49"/>
      <c r="E3" s="49"/>
      <c r="F3" s="49"/>
      <c r="G3" s="49"/>
      <c r="H3" s="49"/>
      <c r="I3" s="49"/>
      <c r="J3" s="49"/>
      <c r="K3" s="49"/>
    </row>
    <row r="4" spans="1:11" ht="21" customHeight="1" x14ac:dyDescent="0.25">
      <c r="A4" s="3"/>
      <c r="B4" s="3"/>
      <c r="C4" s="3"/>
      <c r="D4" s="3"/>
      <c r="E4" s="3"/>
      <c r="F4" s="3"/>
      <c r="G4" s="3"/>
      <c r="H4" s="3"/>
      <c r="I4" s="3"/>
      <c r="J4" s="3"/>
      <c r="K4" s="3"/>
    </row>
    <row r="5" spans="1:11" ht="21" customHeight="1" x14ac:dyDescent="0.25">
      <c r="A5" s="2" t="s">
        <v>3</v>
      </c>
      <c r="B5" s="4" t="str">
        <f>FONTE&amp;ONERA</f>
        <v>SINAPI PI-12/2021, SEINFRA 27, ORSE-11/2021, SEM DESONERAÇÃO</v>
      </c>
      <c r="C5" s="2"/>
      <c r="D5" s="2"/>
      <c r="E5" s="2"/>
      <c r="F5" s="3"/>
      <c r="G5" s="2" t="s">
        <v>6</v>
      </c>
      <c r="H5" s="5">
        <f>LEI</f>
        <v>111.86</v>
      </c>
      <c r="I5" s="3"/>
      <c r="J5" s="2" t="s">
        <v>7</v>
      </c>
      <c r="K5" s="5">
        <f>BDI</f>
        <v>20.34</v>
      </c>
    </row>
    <row r="6" spans="1:11" ht="21" customHeight="1" x14ac:dyDescent="0.25">
      <c r="A6" s="10" t="s">
        <v>20</v>
      </c>
      <c r="B6" s="56" t="s">
        <v>8</v>
      </c>
      <c r="C6" s="57"/>
      <c r="D6" s="57"/>
      <c r="E6" s="57"/>
      <c r="F6" s="57"/>
      <c r="G6" s="57"/>
      <c r="H6" s="57"/>
      <c r="I6" s="58"/>
      <c r="J6" s="10" t="s">
        <v>10</v>
      </c>
      <c r="K6" s="10" t="s">
        <v>21</v>
      </c>
    </row>
    <row r="7" spans="1:11" ht="21" customHeight="1" x14ac:dyDescent="0.25">
      <c r="A7" s="11">
        <v>1</v>
      </c>
      <c r="B7" s="53" t="str">
        <f>VLOOKUP(A7,ORCAMENTO!A:L,2,FALSE)</f>
        <v>ADMINISTRAÇÃO LOCAL DE OBRA</v>
      </c>
      <c r="C7" s="54"/>
      <c r="D7" s="54"/>
      <c r="E7" s="54"/>
      <c r="F7" s="54"/>
      <c r="G7" s="54"/>
      <c r="H7" s="54"/>
      <c r="I7" s="55"/>
      <c r="J7" s="7">
        <f>VLOOKUP(A7,ORCAMENTO!A:L,11,FALSE)</f>
        <v>3046.95</v>
      </c>
      <c r="K7" s="12">
        <f t="shared" ref="K7:K14" si="0">J7/$J$15</f>
        <v>4.6417739393098283E-2</v>
      </c>
    </row>
    <row r="8" spans="1:11" ht="21" customHeight="1" x14ac:dyDescent="0.25">
      <c r="A8" s="11">
        <v>2</v>
      </c>
      <c r="B8" s="53" t="str">
        <f>VLOOKUP(A8,ORCAMENTO!A:L,2,FALSE)</f>
        <v>SERVIÇOS PRELIMINARES</v>
      </c>
      <c r="C8" s="54"/>
      <c r="D8" s="54"/>
      <c r="E8" s="54"/>
      <c r="F8" s="54"/>
      <c r="G8" s="54"/>
      <c r="H8" s="54"/>
      <c r="I8" s="55"/>
      <c r="J8" s="7">
        <f>VLOOKUP(A8,ORCAMENTO!A:L,11,FALSE)</f>
        <v>392.81</v>
      </c>
      <c r="K8" s="12">
        <f t="shared" si="0"/>
        <v>5.9841323983009041E-3</v>
      </c>
    </row>
    <row r="9" spans="1:11" ht="21" customHeight="1" x14ac:dyDescent="0.25">
      <c r="A9" s="11">
        <v>3</v>
      </c>
      <c r="B9" s="53" t="str">
        <f>VLOOKUP(A9,ORCAMENTO!A:L,2,FALSE)</f>
        <v>RETIRADAS</v>
      </c>
      <c r="C9" s="54"/>
      <c r="D9" s="54"/>
      <c r="E9" s="54"/>
      <c r="F9" s="54"/>
      <c r="G9" s="54"/>
      <c r="H9" s="54"/>
      <c r="I9" s="55"/>
      <c r="J9" s="7">
        <f>VLOOKUP(A9,ORCAMENTO!A:L,11,FALSE)</f>
        <v>8925.2199999999993</v>
      </c>
      <c r="K9" s="12">
        <f t="shared" si="0"/>
        <v>0.1359682751558341</v>
      </c>
    </row>
    <row r="10" spans="1:11" ht="21" customHeight="1" x14ac:dyDescent="0.25">
      <c r="A10" s="11">
        <v>4</v>
      </c>
      <c r="B10" s="53" t="str">
        <f>VLOOKUP(A10,ORCAMENTO!A:L,2,FALSE)</f>
        <v>COBERTURA</v>
      </c>
      <c r="C10" s="54"/>
      <c r="D10" s="54"/>
      <c r="E10" s="54"/>
      <c r="F10" s="54"/>
      <c r="G10" s="54"/>
      <c r="H10" s="54"/>
      <c r="I10" s="55"/>
      <c r="J10" s="7">
        <f>VLOOKUP(A10,ORCAMENTO!A:L,11,FALSE)</f>
        <v>25978.68</v>
      </c>
      <c r="K10" s="12">
        <f t="shared" si="0"/>
        <v>0.3957635005552092</v>
      </c>
    </row>
    <row r="11" spans="1:11" ht="21" customHeight="1" x14ac:dyDescent="0.25">
      <c r="A11" s="11">
        <v>5</v>
      </c>
      <c r="B11" s="53" t="str">
        <f>VLOOKUP(A11,ORCAMENTO!A:L,2,FALSE)</f>
        <v>PINTURA</v>
      </c>
      <c r="C11" s="54"/>
      <c r="D11" s="54"/>
      <c r="E11" s="54"/>
      <c r="F11" s="54"/>
      <c r="G11" s="54"/>
      <c r="H11" s="54"/>
      <c r="I11" s="55"/>
      <c r="J11" s="7">
        <f>VLOOKUP(A11,ORCAMENTO!A:L,11,FALSE)</f>
        <v>14295.81</v>
      </c>
      <c r="K11" s="12">
        <f t="shared" si="0"/>
        <v>0.21778472997366166</v>
      </c>
    </row>
    <row r="12" spans="1:11" ht="21" customHeight="1" x14ac:dyDescent="0.25">
      <c r="A12" s="11">
        <v>6</v>
      </c>
      <c r="B12" s="53" t="str">
        <f>VLOOKUP(A12,ORCAMENTO!A:L,2,FALSE)</f>
        <v>INSTALAÇÕES ELÉTRICAS</v>
      </c>
      <c r="C12" s="54"/>
      <c r="D12" s="54"/>
      <c r="E12" s="54"/>
      <c r="F12" s="54"/>
      <c r="G12" s="54"/>
      <c r="H12" s="54"/>
      <c r="I12" s="55"/>
      <c r="J12" s="7">
        <f>VLOOKUP(A12,ORCAMENTO!A:L,11,FALSE)</f>
        <v>9933</v>
      </c>
      <c r="K12" s="12">
        <f t="shared" si="0"/>
        <v>0.15132096207408893</v>
      </c>
    </row>
    <row r="13" spans="1:11" ht="21" customHeight="1" x14ac:dyDescent="0.25">
      <c r="A13" s="11">
        <v>7</v>
      </c>
      <c r="B13" s="53" t="str">
        <f>VLOOKUP(A13,ORCAMENTO!A:L,2,FALSE)</f>
        <v>INSTALAÇÕES HIDROSANITÁRIAS</v>
      </c>
      <c r="C13" s="54"/>
      <c r="D13" s="54"/>
      <c r="E13" s="54"/>
      <c r="F13" s="54"/>
      <c r="G13" s="54"/>
      <c r="H13" s="54"/>
      <c r="I13" s="55"/>
      <c r="J13" s="7">
        <f>VLOOKUP(A13,ORCAMENTO!A:L,11,FALSE)</f>
        <v>549.91999999999996</v>
      </c>
      <c r="K13" s="12">
        <f t="shared" si="0"/>
        <v>8.3775720793096732E-3</v>
      </c>
    </row>
    <row r="14" spans="1:11" ht="21" customHeight="1" x14ac:dyDescent="0.25">
      <c r="A14" s="11">
        <v>8</v>
      </c>
      <c r="B14" s="53" t="str">
        <f>VLOOKUP(A14,ORCAMENTO!A:L,2,FALSE)</f>
        <v>SERVIÇOS FINAIS</v>
      </c>
      <c r="C14" s="54"/>
      <c r="D14" s="54"/>
      <c r="E14" s="54"/>
      <c r="F14" s="54"/>
      <c r="G14" s="54"/>
      <c r="H14" s="54"/>
      <c r="I14" s="55"/>
      <c r="J14" s="7">
        <f>VLOOKUP(A14,ORCAMENTO!A:L,11,FALSE)</f>
        <v>2519.54</v>
      </c>
      <c r="K14" s="12">
        <f t="shared" si="0"/>
        <v>3.8383088370497337E-2</v>
      </c>
    </row>
    <row r="15" spans="1:11" ht="21" customHeight="1" x14ac:dyDescent="0.25">
      <c r="A15" s="50" t="s">
        <v>22</v>
      </c>
      <c r="B15" s="51"/>
      <c r="C15" s="51"/>
      <c r="D15" s="51"/>
      <c r="E15" s="51"/>
      <c r="F15" s="51"/>
      <c r="G15" s="51"/>
      <c r="H15" s="51"/>
      <c r="I15" s="52"/>
      <c r="J15" s="13">
        <f>SUM(J7:J14)</f>
        <v>65641.929999999993</v>
      </c>
      <c r="K15" s="14">
        <f>SUM(K7:K14)</f>
        <v>1</v>
      </c>
    </row>
    <row r="16" spans="1:11" ht="21" customHeight="1" x14ac:dyDescent="0.25">
      <c r="A16" s="3"/>
      <c r="B16" s="3"/>
      <c r="C16" s="3"/>
      <c r="D16" s="3"/>
      <c r="E16" s="3"/>
      <c r="F16" s="3"/>
      <c r="G16" s="3"/>
      <c r="H16" s="3"/>
      <c r="I16" s="3"/>
      <c r="J16" s="2" t="s">
        <v>12</v>
      </c>
      <c r="K16" s="2" t="s">
        <v>12</v>
      </c>
    </row>
    <row r="17" spans="1:11" ht="21" customHeight="1" x14ac:dyDescent="0.25">
      <c r="A17" s="3"/>
      <c r="B17" s="3"/>
      <c r="C17" s="3"/>
      <c r="D17" s="3"/>
      <c r="E17" s="3"/>
      <c r="F17" s="3"/>
      <c r="G17" s="3"/>
      <c r="H17" s="3"/>
      <c r="I17" s="3"/>
      <c r="J17" s="2" t="s">
        <v>12</v>
      </c>
      <c r="K17" s="2" t="s">
        <v>12</v>
      </c>
    </row>
  </sheetData>
  <sheetProtection formatCells="0" formatColumns="0" formatRows="0" insertColumns="0" insertRows="0" insertHyperlinks="0" deleteColumns="0" deleteRows="0" sort="0" autoFilter="0" pivotTables="0"/>
  <mergeCells count="13">
    <mergeCell ref="B8:I8"/>
    <mergeCell ref="A1:K1"/>
    <mergeCell ref="A2:K2"/>
    <mergeCell ref="A3:K3"/>
    <mergeCell ref="B6:I6"/>
    <mergeCell ref="B7:I7"/>
    <mergeCell ref="A15:I15"/>
    <mergeCell ref="B9:I9"/>
    <mergeCell ref="B10:I10"/>
    <mergeCell ref="B11:I11"/>
    <mergeCell ref="B12:I12"/>
    <mergeCell ref="B13:I13"/>
    <mergeCell ref="B14:I14"/>
  </mergeCells>
  <pageMargins left="0.7" right="0.7" top="0.75" bottom="0.75" header="0.3" footer="0.3"/>
  <pageSetup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85" zoomScaleNormal="90" zoomScaleSheetLayoutView="85" workbookViewId="0">
      <selection activeCell="L12" sqref="L12"/>
    </sheetView>
  </sheetViews>
  <sheetFormatPr defaultRowHeight="15" customHeight="1" x14ac:dyDescent="0.25"/>
  <cols>
    <col min="1" max="1" width="12" style="1" customWidth="1"/>
    <col min="2" max="2" width="8" style="1" customWidth="1"/>
    <col min="3" max="3" width="4" style="1" customWidth="1"/>
    <col min="4" max="4" width="8.42578125" style="1" customWidth="1"/>
    <col min="5" max="5" width="20" style="1" customWidth="1"/>
    <col min="6" max="6" width="21" style="1" customWidth="1"/>
    <col min="7" max="7" width="17.140625" style="1" customWidth="1"/>
    <col min="8" max="8" width="14.5703125" style="1" customWidth="1"/>
    <col min="9" max="9" width="17.140625" style="1" customWidth="1"/>
    <col min="10" max="10" width="14.42578125" style="1" customWidth="1"/>
    <col min="11" max="11" width="17.140625" style="1" customWidth="1"/>
    <col min="12" max="12" width="15" style="1" customWidth="1"/>
    <col min="13" max="13" width="17.140625" style="1" customWidth="1"/>
    <col min="14" max="14" width="17.7109375" style="1" customWidth="1"/>
    <col min="15" max="15" width="17.42578125" style="1" customWidth="1"/>
    <col min="16" max="16384" width="9.140625" style="1"/>
  </cols>
  <sheetData>
    <row r="1" spans="1:15" ht="15" customHeight="1" x14ac:dyDescent="0.25">
      <c r="A1" s="49" t="str">
        <f>CIDADE</f>
        <v>MUNICÍPIO DE SAO RAIMUNDO NONATO - PI</v>
      </c>
      <c r="B1" s="49"/>
      <c r="C1" s="49"/>
      <c r="D1" s="49"/>
      <c r="E1" s="49"/>
      <c r="F1" s="49"/>
      <c r="G1" s="49"/>
      <c r="H1" s="49"/>
      <c r="I1" s="49"/>
      <c r="J1" s="49"/>
      <c r="K1" s="49"/>
      <c r="L1" s="49"/>
      <c r="M1" s="49"/>
      <c r="N1" s="49"/>
      <c r="O1" s="49"/>
    </row>
    <row r="2" spans="1:15" ht="15" customHeight="1" x14ac:dyDescent="0.25">
      <c r="A2" s="49" t="str">
        <f>OBRA</f>
        <v>ESPAÇO DA CIDADANIA</v>
      </c>
      <c r="B2" s="49"/>
      <c r="C2" s="49"/>
      <c r="D2" s="49"/>
      <c r="E2" s="49"/>
      <c r="F2" s="49"/>
      <c r="G2" s="49"/>
      <c r="H2" s="49"/>
      <c r="I2" s="49"/>
      <c r="J2" s="49"/>
      <c r="K2" s="49"/>
      <c r="L2" s="49"/>
      <c r="M2" s="49"/>
      <c r="N2" s="49"/>
      <c r="O2" s="49"/>
    </row>
    <row r="3" spans="1:15" ht="15" customHeight="1" x14ac:dyDescent="0.25">
      <c r="A3" s="49" t="s">
        <v>23</v>
      </c>
      <c r="B3" s="49"/>
      <c r="C3" s="49"/>
      <c r="D3" s="49"/>
      <c r="E3" s="49"/>
      <c r="F3" s="49"/>
      <c r="G3" s="49"/>
      <c r="H3" s="49"/>
      <c r="I3" s="49"/>
      <c r="J3" s="49"/>
      <c r="K3" s="49"/>
      <c r="L3" s="49"/>
      <c r="M3" s="49"/>
      <c r="N3" s="49"/>
      <c r="O3" s="49"/>
    </row>
    <row r="4" spans="1:15" ht="15" customHeight="1" x14ac:dyDescent="0.25">
      <c r="A4" s="3"/>
      <c r="B4" s="3"/>
      <c r="C4" s="3"/>
      <c r="D4" s="3"/>
      <c r="E4" s="3"/>
      <c r="F4" s="3"/>
      <c r="G4" s="3"/>
      <c r="H4" s="3"/>
      <c r="I4" s="3"/>
      <c r="J4" s="3"/>
      <c r="K4" s="3"/>
      <c r="L4" s="3"/>
      <c r="M4" s="3"/>
      <c r="N4" s="3"/>
      <c r="O4" s="3"/>
    </row>
    <row r="5" spans="1:15" ht="15" customHeight="1" x14ac:dyDescent="0.25">
      <c r="A5" s="2" t="s">
        <v>3</v>
      </c>
      <c r="B5" s="4" t="str">
        <f>FONTE&amp;ONERA</f>
        <v>SINAPI PI-12/2021, SEINFRA 27, ORSE-11/2021, SEM DESONERAÇÃO</v>
      </c>
      <c r="C5" s="2"/>
      <c r="D5" s="2"/>
      <c r="E5" s="2"/>
      <c r="F5" s="3"/>
      <c r="G5" s="2" t="s">
        <v>6</v>
      </c>
      <c r="H5" s="5">
        <f>LEI</f>
        <v>111.86</v>
      </c>
      <c r="I5" s="3"/>
      <c r="J5" s="3"/>
      <c r="K5" s="3"/>
      <c r="L5" s="3"/>
      <c r="M5" s="3"/>
      <c r="N5" s="2" t="s">
        <v>7</v>
      </c>
      <c r="O5" s="5">
        <f>BDI</f>
        <v>20.34</v>
      </c>
    </row>
    <row r="6" spans="1:15" ht="26.25" customHeight="1" x14ac:dyDescent="0.25">
      <c r="A6" s="63" t="s">
        <v>20</v>
      </c>
      <c r="B6" s="56" t="s">
        <v>8</v>
      </c>
      <c r="C6" s="57"/>
      <c r="D6" s="57"/>
      <c r="E6" s="57"/>
      <c r="F6" s="58"/>
      <c r="G6" s="63" t="s">
        <v>10</v>
      </c>
      <c r="H6" s="63" t="s">
        <v>21</v>
      </c>
      <c r="I6" s="56" t="s">
        <v>24</v>
      </c>
      <c r="J6" s="58"/>
      <c r="K6" s="56" t="s">
        <v>25</v>
      </c>
      <c r="L6" s="58"/>
      <c r="M6" s="63" t="s">
        <v>10</v>
      </c>
      <c r="N6" s="50" t="s">
        <v>21</v>
      </c>
      <c r="O6" s="52"/>
    </row>
    <row r="7" spans="1:15" ht="19.5" customHeight="1" x14ac:dyDescent="0.25">
      <c r="A7" s="64"/>
      <c r="B7" s="65"/>
      <c r="C7" s="66"/>
      <c r="D7" s="66"/>
      <c r="E7" s="66"/>
      <c r="F7" s="67"/>
      <c r="G7" s="64"/>
      <c r="H7" s="64"/>
      <c r="I7" s="65"/>
      <c r="J7" s="67"/>
      <c r="K7" s="65"/>
      <c r="L7" s="67"/>
      <c r="M7" s="64"/>
      <c r="N7" s="10" t="s">
        <v>26</v>
      </c>
      <c r="O7" s="10" t="s">
        <v>27</v>
      </c>
    </row>
    <row r="8" spans="1:15" ht="18.95" customHeight="1" x14ac:dyDescent="0.25">
      <c r="A8" s="11">
        <v>1</v>
      </c>
      <c r="B8" s="53" t="str">
        <f>VLOOKUP(A8,RESUMO!A:K,2,FALSE)</f>
        <v>ADMINISTRAÇÃO LOCAL DE OBRA</v>
      </c>
      <c r="C8" s="54"/>
      <c r="D8" s="54"/>
      <c r="E8" s="54"/>
      <c r="F8" s="55"/>
      <c r="G8" s="7">
        <v>3024</v>
      </c>
      <c r="H8" s="12">
        <f t="shared" ref="H8:H15" si="0">G8/$G$16</f>
        <v>5.6089816415285737E-2</v>
      </c>
      <c r="I8" s="7">
        <v>1512</v>
      </c>
      <c r="J8" s="12">
        <v>0.5</v>
      </c>
      <c r="K8" s="7">
        <v>1512</v>
      </c>
      <c r="L8" s="12">
        <v>0.5</v>
      </c>
      <c r="M8" s="7">
        <f t="shared" ref="M8:N15" si="1">SUM(K8,I8,)</f>
        <v>3024</v>
      </c>
      <c r="N8" s="12">
        <f t="shared" si="1"/>
        <v>1</v>
      </c>
      <c r="O8" s="12">
        <f t="shared" ref="O8:O15" si="2">M8/$G$16</f>
        <v>5.6089816415285737E-2</v>
      </c>
    </row>
    <row r="9" spans="1:15" ht="18.95" customHeight="1" x14ac:dyDescent="0.25">
      <c r="A9" s="11">
        <v>2</v>
      </c>
      <c r="B9" s="53" t="str">
        <f>VLOOKUP(A9,RESUMO!A:K,2,FALSE)</f>
        <v>SERVIÇOS PRELIMINARES</v>
      </c>
      <c r="C9" s="54"/>
      <c r="D9" s="54"/>
      <c r="E9" s="54"/>
      <c r="F9" s="55"/>
      <c r="G9" s="7">
        <v>374.43</v>
      </c>
      <c r="H9" s="12">
        <f t="shared" si="0"/>
        <v>6.9450099075315606E-3</v>
      </c>
      <c r="I9" s="7">
        <v>374.43</v>
      </c>
      <c r="J9" s="12">
        <v>1</v>
      </c>
      <c r="K9" s="7">
        <v>0</v>
      </c>
      <c r="L9" s="12">
        <v>0</v>
      </c>
      <c r="M9" s="7">
        <f t="shared" si="1"/>
        <v>374.43</v>
      </c>
      <c r="N9" s="12">
        <f t="shared" si="1"/>
        <v>1</v>
      </c>
      <c r="O9" s="12">
        <f t="shared" si="2"/>
        <v>6.9450099075315606E-3</v>
      </c>
    </row>
    <row r="10" spans="1:15" ht="18.95" customHeight="1" x14ac:dyDescent="0.25">
      <c r="A10" s="11">
        <v>3</v>
      </c>
      <c r="B10" s="53" t="str">
        <f>VLOOKUP(A10,RESUMO!A:K,2,FALSE)</f>
        <v>RETIRADAS</v>
      </c>
      <c r="C10" s="54"/>
      <c r="D10" s="54"/>
      <c r="E10" s="54"/>
      <c r="F10" s="55"/>
      <c r="G10" s="7">
        <v>8414.74</v>
      </c>
      <c r="H10" s="12">
        <f t="shared" si="0"/>
        <v>0.15607844635660104</v>
      </c>
      <c r="I10" s="7">
        <v>8414.74</v>
      </c>
      <c r="J10" s="12">
        <v>1</v>
      </c>
      <c r="K10" s="7">
        <v>0</v>
      </c>
      <c r="L10" s="12">
        <v>0</v>
      </c>
      <c r="M10" s="7">
        <f t="shared" si="1"/>
        <v>8414.74</v>
      </c>
      <c r="N10" s="12">
        <f t="shared" si="1"/>
        <v>1</v>
      </c>
      <c r="O10" s="12">
        <f t="shared" si="2"/>
        <v>0.15607844635660104</v>
      </c>
    </row>
    <row r="11" spans="1:15" ht="18.95" customHeight="1" x14ac:dyDescent="0.25">
      <c r="A11" s="11">
        <v>4</v>
      </c>
      <c r="B11" s="53" t="str">
        <f>VLOOKUP(A11,RESUMO!A:K,2,FALSE)</f>
        <v>COBERTURA</v>
      </c>
      <c r="C11" s="54"/>
      <c r="D11" s="54"/>
      <c r="E11" s="54"/>
      <c r="F11" s="55"/>
      <c r="G11" s="7">
        <v>22294.52</v>
      </c>
      <c r="H11" s="12">
        <f t="shared" si="0"/>
        <v>0.41352365537927122</v>
      </c>
      <c r="I11" s="7">
        <v>13376.71</v>
      </c>
      <c r="J11" s="12">
        <v>0.6</v>
      </c>
      <c r="K11" s="7">
        <v>8917.81</v>
      </c>
      <c r="L11" s="12">
        <v>0.4</v>
      </c>
      <c r="M11" s="7">
        <f t="shared" si="1"/>
        <v>22294.519999999997</v>
      </c>
      <c r="N11" s="12">
        <f t="shared" si="1"/>
        <v>1</v>
      </c>
      <c r="O11" s="12">
        <f t="shared" si="2"/>
        <v>0.41352365537927116</v>
      </c>
    </row>
    <row r="12" spans="1:15" ht="18.95" customHeight="1" x14ac:dyDescent="0.25">
      <c r="A12" s="11">
        <v>5</v>
      </c>
      <c r="B12" s="53" t="str">
        <f>VLOOKUP(A12,RESUMO!A:K,2,FALSE)</f>
        <v>PINTURA</v>
      </c>
      <c r="C12" s="54"/>
      <c r="D12" s="54"/>
      <c r="E12" s="54"/>
      <c r="F12" s="55"/>
      <c r="G12" s="7">
        <v>12207.23</v>
      </c>
      <c r="H12" s="12">
        <f t="shared" si="0"/>
        <v>0.22642238413993668</v>
      </c>
      <c r="I12" s="7">
        <f t="shared" ref="I12:I15" si="3">J12*$G12</f>
        <v>0</v>
      </c>
      <c r="J12" s="12">
        <v>0</v>
      </c>
      <c r="K12" s="7">
        <v>12207.23</v>
      </c>
      <c r="L12" s="12">
        <v>1</v>
      </c>
      <c r="M12" s="7">
        <f t="shared" si="1"/>
        <v>12207.23</v>
      </c>
      <c r="N12" s="12">
        <f t="shared" si="1"/>
        <v>1</v>
      </c>
      <c r="O12" s="12">
        <f t="shared" si="2"/>
        <v>0.22642238413993668</v>
      </c>
    </row>
    <row r="13" spans="1:15" ht="18.95" customHeight="1" x14ac:dyDescent="0.25">
      <c r="A13" s="11">
        <v>6</v>
      </c>
      <c r="B13" s="53" t="str">
        <f>VLOOKUP(A13,RESUMO!A:K,2,FALSE)</f>
        <v>INSTALAÇÕES ELÉTRICAS</v>
      </c>
      <c r="C13" s="54"/>
      <c r="D13" s="54"/>
      <c r="E13" s="54"/>
      <c r="F13" s="55"/>
      <c r="G13" s="7">
        <v>4936.5</v>
      </c>
      <c r="H13" s="12">
        <f t="shared" si="0"/>
        <v>9.1563286618405432E-2</v>
      </c>
      <c r="I13" s="7">
        <v>2468.25</v>
      </c>
      <c r="J13" s="12">
        <v>0.5</v>
      </c>
      <c r="K13" s="7">
        <v>2468.25</v>
      </c>
      <c r="L13" s="12">
        <v>0.5</v>
      </c>
      <c r="M13" s="7">
        <f t="shared" si="1"/>
        <v>4936.5</v>
      </c>
      <c r="N13" s="12">
        <f t="shared" si="1"/>
        <v>1</v>
      </c>
      <c r="O13" s="12">
        <f t="shared" si="2"/>
        <v>9.1563286618405432E-2</v>
      </c>
    </row>
    <row r="14" spans="1:15" ht="18.95" customHeight="1" x14ac:dyDescent="0.25">
      <c r="A14" s="11">
        <v>7</v>
      </c>
      <c r="B14" s="53" t="str">
        <f>VLOOKUP(A14,RESUMO!A:K,2,FALSE)</f>
        <v>INSTALAÇÕES HIDROSANITÁRIAS</v>
      </c>
      <c r="C14" s="54"/>
      <c r="D14" s="54"/>
      <c r="E14" s="54"/>
      <c r="F14" s="55"/>
      <c r="G14" s="7">
        <v>521.32000000000005</v>
      </c>
      <c r="H14" s="12">
        <f t="shared" si="0"/>
        <v>9.6695579013282955E-3</v>
      </c>
      <c r="I14" s="7">
        <v>521.32000000000005</v>
      </c>
      <c r="J14" s="12">
        <v>1</v>
      </c>
      <c r="K14" s="7">
        <f t="shared" ref="K14" si="4">L14*$G14</f>
        <v>0</v>
      </c>
      <c r="L14" s="12">
        <v>0</v>
      </c>
      <c r="M14" s="7">
        <f t="shared" si="1"/>
        <v>521.32000000000005</v>
      </c>
      <c r="N14" s="12">
        <f t="shared" si="1"/>
        <v>1</v>
      </c>
      <c r="O14" s="12">
        <f t="shared" si="2"/>
        <v>9.6695579013282955E-3</v>
      </c>
    </row>
    <row r="15" spans="1:15" ht="18.95" customHeight="1" x14ac:dyDescent="0.25">
      <c r="A15" s="11">
        <v>8</v>
      </c>
      <c r="B15" s="53" t="str">
        <f>VLOOKUP(A15,RESUMO!A:K,2,FALSE)</f>
        <v>SERVIÇOS FINAIS</v>
      </c>
      <c r="C15" s="54"/>
      <c r="D15" s="54"/>
      <c r="E15" s="54"/>
      <c r="F15" s="55"/>
      <c r="G15" s="7">
        <v>2140.79</v>
      </c>
      <c r="H15" s="12">
        <f t="shared" si="0"/>
        <v>3.9707843281640065E-2</v>
      </c>
      <c r="I15" s="7">
        <f t="shared" si="3"/>
        <v>0</v>
      </c>
      <c r="J15" s="12">
        <v>0</v>
      </c>
      <c r="K15" s="7">
        <v>2140.79</v>
      </c>
      <c r="L15" s="12">
        <v>1</v>
      </c>
      <c r="M15" s="7">
        <f t="shared" si="1"/>
        <v>2140.79</v>
      </c>
      <c r="N15" s="12">
        <f t="shared" si="1"/>
        <v>1</v>
      </c>
      <c r="O15" s="12">
        <f t="shared" si="2"/>
        <v>3.9707843281640065E-2</v>
      </c>
    </row>
    <row r="16" spans="1:15" ht="18.95" customHeight="1" x14ac:dyDescent="0.25">
      <c r="B16" s="50" t="s">
        <v>28</v>
      </c>
      <c r="C16" s="51"/>
      <c r="D16" s="51"/>
      <c r="E16" s="51"/>
      <c r="F16" s="52"/>
      <c r="G16" s="59">
        <f>SUM(G8:G15)</f>
        <v>53913.53</v>
      </c>
      <c r="H16" s="61">
        <f>SUM(H8:H15)</f>
        <v>1</v>
      </c>
      <c r="I16" s="13">
        <f>SUM(I8:I15)</f>
        <v>26667.449999999997</v>
      </c>
      <c r="J16" s="14">
        <f>I16/$G16</f>
        <v>0.49463372181342974</v>
      </c>
      <c r="K16" s="13">
        <f>SUM(K8:K15)</f>
        <v>27246.080000000002</v>
      </c>
      <c r="L16" s="14">
        <f>K16/$G16</f>
        <v>0.50536627818657032</v>
      </c>
      <c r="M16" s="59">
        <f>SUM(M8:M15)</f>
        <v>53913.53</v>
      </c>
      <c r="N16" s="61">
        <f>SUM(L16,J16,)</f>
        <v>1</v>
      </c>
      <c r="O16" s="61">
        <f>SUM(O8:O15)</f>
        <v>0.99999999999999978</v>
      </c>
    </row>
    <row r="17" spans="2:15" ht="18.95" customHeight="1" x14ac:dyDescent="0.25">
      <c r="B17" s="50" t="s">
        <v>29</v>
      </c>
      <c r="C17" s="51"/>
      <c r="D17" s="51"/>
      <c r="E17" s="51"/>
      <c r="F17" s="52"/>
      <c r="G17" s="60"/>
      <c r="H17" s="62"/>
      <c r="I17" s="13">
        <f>I16</f>
        <v>26667.449999999997</v>
      </c>
      <c r="J17" s="14">
        <f>I17/$G16</f>
        <v>0.49463372181342974</v>
      </c>
      <c r="K17" s="13">
        <f>SUM(K16,I17)</f>
        <v>53913.53</v>
      </c>
      <c r="L17" s="14">
        <f>K17/$G16</f>
        <v>1</v>
      </c>
      <c r="M17" s="60"/>
      <c r="N17" s="62"/>
      <c r="O17" s="62"/>
    </row>
  </sheetData>
  <sheetProtection formatCells="0" formatColumns="0" formatRows="0" insertColumns="0" insertRows="0" insertHyperlinks="0" deleteColumns="0" deleteRows="0" sort="0" autoFilter="0" pivotTables="0"/>
  <mergeCells count="26">
    <mergeCell ref="B12:F12"/>
    <mergeCell ref="A1:O1"/>
    <mergeCell ref="A2:O2"/>
    <mergeCell ref="A3:O3"/>
    <mergeCell ref="A6:A7"/>
    <mergeCell ref="B6:F7"/>
    <mergeCell ref="G6:G7"/>
    <mergeCell ref="H6:H7"/>
    <mergeCell ref="I6:J7"/>
    <mergeCell ref="K6:L7"/>
    <mergeCell ref="M6:M7"/>
    <mergeCell ref="N6:O6"/>
    <mergeCell ref="B8:F8"/>
    <mergeCell ref="B9:F9"/>
    <mergeCell ref="B10:F10"/>
    <mergeCell ref="B11:F11"/>
    <mergeCell ref="M16:M17"/>
    <mergeCell ref="N16:N17"/>
    <mergeCell ref="O16:O17"/>
    <mergeCell ref="B17:F17"/>
    <mergeCell ref="B13:F13"/>
    <mergeCell ref="B14:F14"/>
    <mergeCell ref="B15:F15"/>
    <mergeCell ref="B16:F16"/>
    <mergeCell ref="G16:G17"/>
    <mergeCell ref="H16:H17"/>
  </mergeCells>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zoomScale="60" zoomScaleNormal="100" workbookViewId="0">
      <selection activeCell="A15" sqref="A15:L15"/>
    </sheetView>
  </sheetViews>
  <sheetFormatPr defaultRowHeight="15" customHeight="1" x14ac:dyDescent="0.25"/>
  <cols>
    <col min="1" max="6" width="12.7109375" style="1" customWidth="1"/>
    <col min="7" max="7" width="8.7109375" style="1" customWidth="1"/>
    <col min="8" max="8" width="16.7109375" style="1" customWidth="1"/>
    <col min="9" max="12" width="8.7109375" style="1" customWidth="1"/>
    <col min="13" max="13" width="30.42578125" style="1" customWidth="1"/>
    <col min="14" max="16384" width="9.140625" style="1"/>
  </cols>
  <sheetData>
    <row r="1" spans="1:12" ht="15" customHeight="1" x14ac:dyDescent="0.25">
      <c r="A1" s="49" t="str">
        <f>CIDADE</f>
        <v>MUNICÍPIO DE SAO RAIMUNDO NONATO - PI</v>
      </c>
      <c r="B1" s="49"/>
      <c r="C1" s="49"/>
      <c r="D1" s="49"/>
      <c r="E1" s="49"/>
      <c r="F1" s="49"/>
      <c r="G1" s="49"/>
      <c r="H1" s="49"/>
      <c r="I1" s="49"/>
      <c r="J1" s="49"/>
      <c r="K1" s="49"/>
      <c r="L1" s="49"/>
    </row>
    <row r="2" spans="1:12" ht="15" customHeight="1" x14ac:dyDescent="0.25">
      <c r="A2" s="49" t="str">
        <f>OBRA</f>
        <v>ESPAÇO DA CIDADANIA</v>
      </c>
      <c r="B2" s="49"/>
      <c r="C2" s="49"/>
      <c r="D2" s="49"/>
      <c r="E2" s="49"/>
      <c r="F2" s="49"/>
      <c r="G2" s="49"/>
      <c r="H2" s="49"/>
      <c r="I2" s="49"/>
      <c r="J2" s="49"/>
      <c r="K2" s="49"/>
      <c r="L2" s="49"/>
    </row>
    <row r="3" spans="1:12" ht="15" customHeight="1" x14ac:dyDescent="0.25">
      <c r="A3" s="49" t="s">
        <v>30</v>
      </c>
      <c r="B3" s="49"/>
      <c r="C3" s="49"/>
      <c r="D3" s="49"/>
      <c r="E3" s="49"/>
      <c r="F3" s="49"/>
      <c r="G3" s="49"/>
      <c r="H3" s="49"/>
      <c r="I3" s="49"/>
      <c r="J3" s="49"/>
      <c r="K3" s="49"/>
      <c r="L3" s="49"/>
    </row>
    <row r="4" spans="1:12" ht="15" customHeight="1" x14ac:dyDescent="0.25">
      <c r="A4" s="3"/>
      <c r="B4" s="3"/>
      <c r="C4" s="3"/>
      <c r="D4" s="3"/>
      <c r="E4" s="3"/>
      <c r="F4" s="3"/>
      <c r="G4" s="3"/>
      <c r="H4" s="3"/>
      <c r="I4" s="3"/>
      <c r="J4" s="3"/>
      <c r="K4" s="3"/>
      <c r="L4" s="3"/>
    </row>
    <row r="5" spans="1:12" ht="15" customHeight="1" x14ac:dyDescent="0.25">
      <c r="A5" s="2" t="s">
        <v>3</v>
      </c>
      <c r="B5" s="4" t="str">
        <f>FONTE&amp;ONERA</f>
        <v>SINAPI PI-12/2021, SEINFRA 27, ORSE-11/2021, SEM DESONERAÇÃO</v>
      </c>
      <c r="C5" s="2"/>
      <c r="D5" s="2"/>
      <c r="E5" s="2"/>
      <c r="F5" s="3"/>
      <c r="G5" s="3"/>
      <c r="H5" s="2" t="s">
        <v>6</v>
      </c>
      <c r="I5" s="5">
        <f>LEI</f>
        <v>111.86</v>
      </c>
      <c r="J5" s="3"/>
      <c r="K5" s="2" t="s">
        <v>7</v>
      </c>
      <c r="L5" s="5">
        <f>BDI</f>
        <v>20.34</v>
      </c>
    </row>
    <row r="6" spans="1:12" ht="30" customHeight="1" x14ac:dyDescent="0.25">
      <c r="A6" s="10" t="s">
        <v>20</v>
      </c>
      <c r="B6" s="10" t="s">
        <v>31</v>
      </c>
      <c r="C6" s="79" t="s">
        <v>8</v>
      </c>
      <c r="D6" s="80"/>
      <c r="E6" s="80"/>
      <c r="F6" s="80"/>
      <c r="G6" s="6" t="s">
        <v>32</v>
      </c>
      <c r="H6" s="6" t="s">
        <v>33</v>
      </c>
      <c r="I6" s="46" t="s">
        <v>34</v>
      </c>
      <c r="J6" s="48"/>
      <c r="K6" s="51" t="s">
        <v>10</v>
      </c>
      <c r="L6" s="52"/>
    </row>
    <row r="7" spans="1:12" ht="15" customHeight="1" x14ac:dyDescent="0.25">
      <c r="A7" s="15">
        <v>1</v>
      </c>
      <c r="B7" s="70" t="str">
        <f>VLOOKUP(A7,MEMORIA!A:P,2,FALSE)</f>
        <v>ADMINISTRAÇÃO LOCAL DE OBRA</v>
      </c>
      <c r="C7" s="71"/>
      <c r="D7" s="71"/>
      <c r="E7" s="71"/>
      <c r="F7" s="71"/>
      <c r="G7" s="71"/>
      <c r="H7" s="71"/>
      <c r="I7" s="71"/>
      <c r="J7" s="72"/>
      <c r="K7" s="73">
        <f>SUM(K8:L10)</f>
        <v>3046.95</v>
      </c>
      <c r="L7" s="69"/>
    </row>
    <row r="8" spans="1:12" ht="30" customHeight="1" x14ac:dyDescent="0.25">
      <c r="A8" s="16" t="s">
        <v>35</v>
      </c>
      <c r="B8" s="16">
        <f>VLOOKUP(A8,MEMORIA!A:P,2,FALSE)</f>
        <v>90777</v>
      </c>
      <c r="C8" s="74" t="str">
        <f>VLOOKUP(A8,MEMORIA!A:P,3,FALSE)</f>
        <v>ENGENHEIRO CIVIL DE OBRA JUNIOR COM ENCARGOS COMPLEMENTARES</v>
      </c>
      <c r="D8" s="74"/>
      <c r="E8" s="74"/>
      <c r="F8" s="74"/>
      <c r="G8" s="16" t="str">
        <f>VLOOKUP(A8,MEMORIA!A:P,7,FALSE)</f>
        <v>H</v>
      </c>
      <c r="H8" s="17">
        <f>VLOOKUP(A8,MEMORIA!A:P,16,FALSE)</f>
        <v>15</v>
      </c>
      <c r="I8" s="75">
        <f>VLOOKUP("TOTAL - "&amp;B8,COMPOSICAO!A:K,10,FALSE)</f>
        <v>111.51000000000002</v>
      </c>
      <c r="J8" s="76"/>
      <c r="K8" s="77">
        <f>ROUND(H8*I8,2)</f>
        <v>1672.65</v>
      </c>
      <c r="L8" s="78"/>
    </row>
    <row r="9" spans="1:12" ht="30" customHeight="1" x14ac:dyDescent="0.25">
      <c r="A9" s="16" t="s">
        <v>36</v>
      </c>
      <c r="B9" s="16">
        <f>VLOOKUP(A9,MEMORIA!A:P,2,FALSE)</f>
        <v>90780</v>
      </c>
      <c r="C9" s="74" t="str">
        <f>VLOOKUP(A9,MEMORIA!A:P,3,FALSE)</f>
        <v>MESTRE DE OBRAS COM ENCARGOS COMPLEMENTARES</v>
      </c>
      <c r="D9" s="74"/>
      <c r="E9" s="74"/>
      <c r="F9" s="74"/>
      <c r="G9" s="16" t="str">
        <f>VLOOKUP(A9,MEMORIA!A:P,7,FALSE)</f>
        <v>H</v>
      </c>
      <c r="H9" s="17">
        <f>VLOOKUP(A9,MEMORIA!A:P,16,FALSE)</f>
        <v>30</v>
      </c>
      <c r="I9" s="75">
        <f>VLOOKUP("TOTAL - "&amp;B9,COMPOSICAO!A:K,10,FALSE)</f>
        <v>45.810000000000009</v>
      </c>
      <c r="J9" s="76"/>
      <c r="K9" s="77">
        <f>ROUND(H9*I9,2)</f>
        <v>1374.3</v>
      </c>
      <c r="L9" s="78"/>
    </row>
    <row r="10" spans="1:12" ht="15" customHeight="1" x14ac:dyDescent="0.25">
      <c r="A10" s="18"/>
      <c r="B10" s="18"/>
      <c r="C10" s="18"/>
      <c r="D10" s="18"/>
      <c r="E10" s="18"/>
      <c r="F10" s="18"/>
      <c r="G10" s="18"/>
      <c r="H10" s="18"/>
      <c r="I10" s="18"/>
      <c r="J10" s="18"/>
      <c r="K10" s="18"/>
      <c r="L10" s="18"/>
    </row>
    <row r="11" spans="1:12" ht="15" customHeight="1" x14ac:dyDescent="0.25">
      <c r="A11" s="15">
        <v>2</v>
      </c>
      <c r="B11" s="70" t="str">
        <f>VLOOKUP(A11,MEMORIA!A:P,2,FALSE)</f>
        <v>SERVIÇOS PRELIMINARES</v>
      </c>
      <c r="C11" s="71"/>
      <c r="D11" s="71"/>
      <c r="E11" s="71"/>
      <c r="F11" s="71"/>
      <c r="G11" s="71"/>
      <c r="H11" s="71"/>
      <c r="I11" s="71"/>
      <c r="J11" s="72"/>
      <c r="K11" s="73">
        <f>SUM(K12:L13)</f>
        <v>392.81</v>
      </c>
      <c r="L11" s="69"/>
    </row>
    <row r="12" spans="1:12" ht="30" customHeight="1" x14ac:dyDescent="0.25">
      <c r="A12" s="16" t="s">
        <v>37</v>
      </c>
      <c r="B12" s="16" t="str">
        <f>VLOOKUP(A12,MEMORIA!A:P,2,FALSE)</f>
        <v>PLACA.1</v>
      </c>
      <c r="C12" s="74" t="str">
        <f>VLOOKUP(A12,MEMORIA!A:P,3,FALSE)</f>
        <v xml:space="preserve">PLACA DE OBRA EM CHAPA DE AÇO GALVANIZADO </v>
      </c>
      <c r="D12" s="74"/>
      <c r="E12" s="74"/>
      <c r="F12" s="74"/>
      <c r="G12" s="16" t="str">
        <f>VLOOKUP(A12,MEMORIA!A:P,7,FALSE)</f>
        <v>M²</v>
      </c>
      <c r="H12" s="17">
        <f>VLOOKUP(A12,MEMORIA!A:P,16,FALSE)</f>
        <v>1</v>
      </c>
      <c r="I12" s="75">
        <f>VLOOKUP("TOTAL - "&amp;B12,COMPOSICAO!A:K,10,FALSE)</f>
        <v>392.81000000000006</v>
      </c>
      <c r="J12" s="76"/>
      <c r="K12" s="77">
        <f>ROUND(H12*I12,2)</f>
        <v>392.81</v>
      </c>
      <c r="L12" s="78"/>
    </row>
    <row r="13" spans="1:12" ht="15" customHeight="1" x14ac:dyDescent="0.25">
      <c r="A13" s="18"/>
      <c r="B13" s="18"/>
      <c r="C13" s="18"/>
      <c r="D13" s="18"/>
      <c r="E13" s="18"/>
      <c r="F13" s="18"/>
      <c r="G13" s="18"/>
      <c r="H13" s="18"/>
      <c r="I13" s="18"/>
      <c r="J13" s="18"/>
      <c r="K13" s="18"/>
      <c r="L13" s="18"/>
    </row>
    <row r="14" spans="1:12" ht="15" customHeight="1" x14ac:dyDescent="0.25">
      <c r="A14" s="15">
        <v>3</v>
      </c>
      <c r="B14" s="70" t="str">
        <f>VLOOKUP(A14,MEMORIA!A:P,2,FALSE)</f>
        <v>RETIRADAS</v>
      </c>
      <c r="C14" s="71"/>
      <c r="D14" s="71"/>
      <c r="E14" s="71"/>
      <c r="F14" s="71"/>
      <c r="G14" s="71"/>
      <c r="H14" s="71"/>
      <c r="I14" s="71"/>
      <c r="J14" s="72"/>
      <c r="K14" s="73">
        <f>SUM(K15:L18)</f>
        <v>8925.2199999999993</v>
      </c>
      <c r="L14" s="69"/>
    </row>
    <row r="15" spans="1:12" ht="30" customHeight="1" x14ac:dyDescent="0.25">
      <c r="A15" s="16" t="s">
        <v>38</v>
      </c>
      <c r="B15" s="16">
        <f>VLOOKUP(A15,MEMORIA!A:P,2,FALSE)</f>
        <v>97663</v>
      </c>
      <c r="C15" s="74" t="str">
        <f>VLOOKUP(A15,MEMORIA!A:P,3,FALSE)</f>
        <v>REMOÇÃO DE LOUÇAS, DE FORMA MANUAL, SEM REAPROVEITAMENTO. AF_12/2017</v>
      </c>
      <c r="D15" s="74"/>
      <c r="E15" s="74"/>
      <c r="F15" s="74"/>
      <c r="G15" s="16" t="str">
        <f>VLOOKUP(A15,MEMORIA!A:P,7,FALSE)</f>
        <v>UN</v>
      </c>
      <c r="H15" s="17">
        <f>VLOOKUP(A15,MEMORIA!A:P,16,FALSE)</f>
        <v>4</v>
      </c>
      <c r="I15" s="75">
        <f>VLOOKUP("TOTAL - "&amp;B15,COMPOSICAO!A:K,10,FALSE)</f>
        <v>11.05</v>
      </c>
      <c r="J15" s="76"/>
      <c r="K15" s="77">
        <f>ROUND(H15*I15,2)</f>
        <v>44.2</v>
      </c>
      <c r="L15" s="78"/>
    </row>
    <row r="16" spans="1:12" ht="45" customHeight="1" x14ac:dyDescent="0.25">
      <c r="A16" s="16" t="s">
        <v>39</v>
      </c>
      <c r="B16" s="16">
        <f>VLOOKUP(A16,MEMORIA!A:P,2,FALSE)</f>
        <v>97640</v>
      </c>
      <c r="C16" s="74" t="str">
        <f>VLOOKUP(A16,MEMORIA!A:P,3,FALSE)</f>
        <v>REMOÇÃO DE FORROS DE DRYWALL, PVC E FIBROMINERAL, DE FORMA MANUAL, SEM REAPROVEITAMENTO. AF_12/2017</v>
      </c>
      <c r="D16" s="74"/>
      <c r="E16" s="74"/>
      <c r="F16" s="74"/>
      <c r="G16" s="16" t="str">
        <f>VLOOKUP(A16,MEMORIA!A:P,7,FALSE)</f>
        <v>M2</v>
      </c>
      <c r="H16" s="17">
        <f>VLOOKUP(A16,MEMORIA!A:P,16,FALSE)</f>
        <v>854.95</v>
      </c>
      <c r="I16" s="75">
        <f>VLOOKUP("TOTAL - "&amp;B16,COMPOSICAO!A:K,10,FALSE)</f>
        <v>1.62</v>
      </c>
      <c r="J16" s="76"/>
      <c r="K16" s="77">
        <f>ROUND(H16*I16,2)</f>
        <v>1385.02</v>
      </c>
      <c r="L16" s="78"/>
    </row>
    <row r="17" spans="1:12" ht="45" customHeight="1" x14ac:dyDescent="0.25">
      <c r="A17" s="16" t="s">
        <v>40</v>
      </c>
      <c r="B17" s="16" t="str">
        <f>VLOOKUP(A17,MEMORIA!A:P,2,FALSE)</f>
        <v>Comp.-01</v>
      </c>
      <c r="C17" s="74" t="str">
        <f>VLOOKUP(A17,MEMORIA!A:P,3,FALSE)</f>
        <v>REMOÇÃO DE PINTURA LÁTEX (RASPAGEM E/OU LIXAMENTO E/OU ESCOVAÇÃO (REF. SEINFRA C4913)</v>
      </c>
      <c r="D17" s="74"/>
      <c r="E17" s="74"/>
      <c r="F17" s="74"/>
      <c r="G17" s="16" t="str">
        <f>VLOOKUP(A17,MEMORIA!A:P,7,FALSE)</f>
        <v>M²</v>
      </c>
      <c r="H17" s="17">
        <f>VLOOKUP(A17,MEMORIA!A:P,16,FALSE)</f>
        <v>953.69</v>
      </c>
      <c r="I17" s="75">
        <f>VLOOKUP("TOTAL - "&amp;B17,COMPOSICAO!A:K,10,FALSE)</f>
        <v>7.86</v>
      </c>
      <c r="J17" s="76"/>
      <c r="K17" s="77">
        <f>ROUND(H17*I17,2)</f>
        <v>7496</v>
      </c>
      <c r="L17" s="78"/>
    </row>
    <row r="18" spans="1:12" ht="15" customHeight="1" x14ac:dyDescent="0.25">
      <c r="A18" s="18"/>
      <c r="B18" s="18"/>
      <c r="C18" s="18"/>
      <c r="D18" s="18"/>
      <c r="E18" s="18"/>
      <c r="F18" s="18"/>
      <c r="G18" s="18"/>
      <c r="H18" s="18"/>
      <c r="I18" s="18"/>
      <c r="J18" s="18"/>
      <c r="K18" s="18"/>
      <c r="L18" s="18"/>
    </row>
    <row r="19" spans="1:12" ht="15" customHeight="1" x14ac:dyDescent="0.25">
      <c r="A19" s="15">
        <v>4</v>
      </c>
      <c r="B19" s="70" t="str">
        <f>VLOOKUP(A19,MEMORIA!A:P,2,FALSE)</f>
        <v>COBERTURA</v>
      </c>
      <c r="C19" s="71"/>
      <c r="D19" s="71"/>
      <c r="E19" s="71"/>
      <c r="F19" s="71"/>
      <c r="G19" s="71"/>
      <c r="H19" s="71"/>
      <c r="I19" s="71"/>
      <c r="J19" s="72"/>
      <c r="K19" s="73">
        <f>SUM(K20:L21)</f>
        <v>25978.68</v>
      </c>
      <c r="L19" s="69"/>
    </row>
    <row r="20" spans="1:12" ht="45" customHeight="1" x14ac:dyDescent="0.25">
      <c r="A20" s="16" t="s">
        <v>41</v>
      </c>
      <c r="B20" s="16">
        <f>VLOOKUP(A20,MEMORIA!A:P,2,FALSE)</f>
        <v>94213</v>
      </c>
      <c r="C20" s="74" t="str">
        <f>VLOOKUP(A20,MEMORIA!A:P,3,FALSE)</f>
        <v>TELHAMENTO COM TELHA DE AÇO/ALUMÍNIO E = 0,5 MM, COM ATÉ 2 ÁGUAS, INCLUSO IÇAMENTO. AF_07/2019</v>
      </c>
      <c r="D20" s="74"/>
      <c r="E20" s="74"/>
      <c r="F20" s="74"/>
      <c r="G20" s="16" t="str">
        <f>VLOOKUP(A20,MEMORIA!A:P,7,FALSE)</f>
        <v>M2</v>
      </c>
      <c r="H20" s="17">
        <f>VLOOKUP(A20,MEMORIA!A:P,16,FALSE)</f>
        <v>256.2</v>
      </c>
      <c r="I20" s="75">
        <f>VLOOKUP("TOTAL - "&amp;B20,COMPOSICAO!A:K,10,FALSE)</f>
        <v>101.39999999999999</v>
      </c>
      <c r="J20" s="76"/>
      <c r="K20" s="77">
        <f>ROUND(H20*I20,2)</f>
        <v>25978.68</v>
      </c>
      <c r="L20" s="78"/>
    </row>
    <row r="21" spans="1:12" ht="15" customHeight="1" x14ac:dyDescent="0.25">
      <c r="A21" s="18"/>
      <c r="B21" s="18"/>
      <c r="C21" s="18"/>
      <c r="D21" s="18"/>
      <c r="E21" s="18"/>
      <c r="F21" s="18"/>
      <c r="G21" s="18"/>
      <c r="H21" s="18"/>
      <c r="I21" s="18"/>
      <c r="J21" s="18"/>
      <c r="K21" s="18"/>
      <c r="L21" s="18"/>
    </row>
    <row r="22" spans="1:12" ht="15" customHeight="1" x14ac:dyDescent="0.25">
      <c r="A22" s="15">
        <v>5</v>
      </c>
      <c r="B22" s="70" t="str">
        <f>VLOOKUP(A22,MEMORIA!A:P,2,FALSE)</f>
        <v>PINTURA</v>
      </c>
      <c r="C22" s="71"/>
      <c r="D22" s="71"/>
      <c r="E22" s="71"/>
      <c r="F22" s="71"/>
      <c r="G22" s="71"/>
      <c r="H22" s="71"/>
      <c r="I22" s="71"/>
      <c r="J22" s="72"/>
      <c r="K22" s="73">
        <f>SUM(K23:L24)</f>
        <v>14295.81</v>
      </c>
      <c r="L22" s="69"/>
    </row>
    <row r="23" spans="1:12" ht="45" customHeight="1" x14ac:dyDescent="0.25">
      <c r="A23" s="16" t="s">
        <v>42</v>
      </c>
      <c r="B23" s="16">
        <f>VLOOKUP(A23,MEMORIA!A:P,2,FALSE)</f>
        <v>88489</v>
      </c>
      <c r="C23" s="74" t="str">
        <f>VLOOKUP(A23,MEMORIA!A:P,3,FALSE)</f>
        <v>APLICAÇÃO MANUAL DE PINTURA COM TINTA LÁTEX ACRÍLICA EM PAREDES, DUAS DEMÃOS. AF_06/2014</v>
      </c>
      <c r="D23" s="74"/>
      <c r="E23" s="74"/>
      <c r="F23" s="74"/>
      <c r="G23" s="16" t="str">
        <f>VLOOKUP(A23,MEMORIA!A:P,7,FALSE)</f>
        <v>M2</v>
      </c>
      <c r="H23" s="17">
        <f>VLOOKUP(A23,MEMORIA!A:P,16,FALSE)</f>
        <v>953.69</v>
      </c>
      <c r="I23" s="75">
        <f>VLOOKUP("TOTAL - "&amp;B23,COMPOSICAO!A:K,10,FALSE)</f>
        <v>14.99</v>
      </c>
      <c r="J23" s="76"/>
      <c r="K23" s="77">
        <f>ROUND(H23*I23,2)</f>
        <v>14295.81</v>
      </c>
      <c r="L23" s="78"/>
    </row>
    <row r="24" spans="1:12" ht="15" customHeight="1" x14ac:dyDescent="0.25">
      <c r="A24" s="18"/>
      <c r="B24" s="18"/>
      <c r="C24" s="18"/>
      <c r="D24" s="18"/>
      <c r="E24" s="18"/>
      <c r="F24" s="18"/>
      <c r="G24" s="18"/>
      <c r="H24" s="18"/>
      <c r="I24" s="18"/>
      <c r="J24" s="18"/>
      <c r="K24" s="18"/>
      <c r="L24" s="18"/>
    </row>
    <row r="25" spans="1:12" ht="15" customHeight="1" x14ac:dyDescent="0.25">
      <c r="A25" s="15">
        <v>6</v>
      </c>
      <c r="B25" s="70" t="str">
        <f>VLOOKUP(A25,MEMORIA!A:P,2,FALSE)</f>
        <v>INSTALAÇÕES ELÉTRICAS</v>
      </c>
      <c r="C25" s="71"/>
      <c r="D25" s="71"/>
      <c r="E25" s="71"/>
      <c r="F25" s="71"/>
      <c r="G25" s="71"/>
      <c r="H25" s="71"/>
      <c r="I25" s="71"/>
      <c r="J25" s="72"/>
      <c r="K25" s="73">
        <f>SUM(K26:L27)</f>
        <v>9933</v>
      </c>
      <c r="L25" s="69"/>
    </row>
    <row r="26" spans="1:12" ht="60" customHeight="1" x14ac:dyDescent="0.25">
      <c r="A26" s="16" t="s">
        <v>43</v>
      </c>
      <c r="B26" s="16" t="str">
        <f>VLOOKUP(A26,MEMORIA!A:P,2,FALSE)</f>
        <v>73953/04</v>
      </c>
      <c r="C26" s="74" t="str">
        <f>VLOOKUP(A26,MEMORIA!A:P,3,FALSE)</f>
        <v>LUMINÁRIAS TIPO CALHA, DE SOBREPOR, COM REATORES DE PARTIDA RÁPIDA E LÂMPADAS FLUORESCENTES 2X2X18W, COMPLETAS, FORNECIMENTO E INSTALAÇÃO</v>
      </c>
      <c r="D26" s="74"/>
      <c r="E26" s="74"/>
      <c r="F26" s="74"/>
      <c r="G26" s="16" t="str">
        <f>VLOOKUP(A26,MEMORIA!A:P,7,FALSE)</f>
        <v>UN</v>
      </c>
      <c r="H26" s="17">
        <f>VLOOKUP(A26,MEMORIA!A:P,16,FALSE)</f>
        <v>50</v>
      </c>
      <c r="I26" s="75">
        <f>VLOOKUP("TOTAL - "&amp;B26,COMPOSICAO!A:K,10,FALSE)</f>
        <v>198.66000000000003</v>
      </c>
      <c r="J26" s="76"/>
      <c r="K26" s="77">
        <f>ROUND(H26*I26,2)</f>
        <v>9933</v>
      </c>
      <c r="L26" s="78"/>
    </row>
    <row r="27" spans="1:12" ht="15" customHeight="1" x14ac:dyDescent="0.25">
      <c r="A27" s="18"/>
      <c r="B27" s="18"/>
      <c r="C27" s="18"/>
      <c r="D27" s="18"/>
      <c r="E27" s="18"/>
      <c r="F27" s="18"/>
      <c r="G27" s="18"/>
      <c r="H27" s="18"/>
      <c r="I27" s="18"/>
      <c r="J27" s="18"/>
      <c r="K27" s="18"/>
      <c r="L27" s="18"/>
    </row>
    <row r="28" spans="1:12" ht="15" customHeight="1" x14ac:dyDescent="0.25">
      <c r="A28" s="15">
        <v>7</v>
      </c>
      <c r="B28" s="70" t="str">
        <f>VLOOKUP(A28,MEMORIA!A:P,2,FALSE)</f>
        <v>INSTALAÇÕES HIDROSANITÁRIAS</v>
      </c>
      <c r="C28" s="71"/>
      <c r="D28" s="71"/>
      <c r="E28" s="71"/>
      <c r="F28" s="71"/>
      <c r="G28" s="71"/>
      <c r="H28" s="71"/>
      <c r="I28" s="71"/>
      <c r="J28" s="72"/>
      <c r="K28" s="73">
        <f>SUM(K29:L30)</f>
        <v>549.91999999999996</v>
      </c>
      <c r="L28" s="69"/>
    </row>
    <row r="29" spans="1:12" ht="75" customHeight="1" x14ac:dyDescent="0.25">
      <c r="A29" s="16" t="s">
        <v>44</v>
      </c>
      <c r="B29" s="16">
        <f>VLOOKUP(A29,MEMORIA!A:P,2,FALSE)</f>
        <v>89957</v>
      </c>
      <c r="C29" s="74" t="str">
        <f>VLOOKUP(A29,MEMORIA!A:P,3,FALSE)</f>
        <v>PONTO DE CONSUMO TERMINAL DE ÁGUA FRIA (SUBRAMAL) COM TUBULAÇÃO DE PVC, DN 25 MM, INSTALADO EM RAMAL DE ÁGUA, INCLUSOS RASGO E CHUMBAMENTO EM ALVENARIA. AF_12/2014</v>
      </c>
      <c r="D29" s="74"/>
      <c r="E29" s="74"/>
      <c r="F29" s="74"/>
      <c r="G29" s="16" t="str">
        <f>VLOOKUP(A29,MEMORIA!A:P,7,FALSE)</f>
        <v>UN</v>
      </c>
      <c r="H29" s="17">
        <f>VLOOKUP(A29,MEMORIA!A:P,16,FALSE)</f>
        <v>4</v>
      </c>
      <c r="I29" s="75">
        <f>VLOOKUP("TOTAL - "&amp;B29,COMPOSICAO!A:K,10,FALSE)</f>
        <v>137.47999999999999</v>
      </c>
      <c r="J29" s="76"/>
      <c r="K29" s="77">
        <f>ROUND(H29*I29,2)</f>
        <v>549.91999999999996</v>
      </c>
      <c r="L29" s="78"/>
    </row>
    <row r="30" spans="1:12" ht="15" customHeight="1" x14ac:dyDescent="0.25">
      <c r="A30" s="18"/>
      <c r="B30" s="18"/>
      <c r="C30" s="18"/>
      <c r="D30" s="18"/>
      <c r="E30" s="18"/>
      <c r="F30" s="18"/>
      <c r="G30" s="18"/>
      <c r="H30" s="18"/>
      <c r="I30" s="18"/>
      <c r="J30" s="18"/>
      <c r="K30" s="18"/>
      <c r="L30" s="18"/>
    </row>
    <row r="31" spans="1:12" ht="15" customHeight="1" x14ac:dyDescent="0.25">
      <c r="A31" s="15">
        <v>8</v>
      </c>
      <c r="B31" s="70" t="str">
        <f>VLOOKUP(A31,MEMORIA!A:P,2,FALSE)</f>
        <v>SERVIÇOS FINAIS</v>
      </c>
      <c r="C31" s="71"/>
      <c r="D31" s="71"/>
      <c r="E31" s="71"/>
      <c r="F31" s="71"/>
      <c r="G31" s="71"/>
      <c r="H31" s="71"/>
      <c r="I31" s="71"/>
      <c r="J31" s="72"/>
      <c r="K31" s="73">
        <f>SUM(K32:L34)</f>
        <v>2519.54</v>
      </c>
      <c r="L31" s="69"/>
    </row>
    <row r="32" spans="1:12" ht="15" customHeight="1" x14ac:dyDescent="0.25">
      <c r="A32" s="16" t="s">
        <v>45</v>
      </c>
      <c r="B32" s="16" t="str">
        <f>VLOOKUP(A32,MEMORIA!A:P,2,FALSE)</f>
        <v>Comp7</v>
      </c>
      <c r="C32" s="74" t="str">
        <f>VLOOKUP(A32,MEMORIA!A:P,3,FALSE)</f>
        <v>LIMPEZA GERAL (REF. ORESE 02450)</v>
      </c>
      <c r="D32" s="74"/>
      <c r="E32" s="74"/>
      <c r="F32" s="74"/>
      <c r="G32" s="16" t="str">
        <f>VLOOKUP(A32,MEMORIA!A:P,7,FALSE)</f>
        <v>M2</v>
      </c>
      <c r="H32" s="17">
        <f>VLOOKUP(A32,MEMORIA!A:P,16,FALSE)</f>
        <v>796.5</v>
      </c>
      <c r="I32" s="75">
        <f>VLOOKUP("TOTAL - "&amp;B32,COMPOSICAO!A:K,10,FALSE)</f>
        <v>2.71</v>
      </c>
      <c r="J32" s="76"/>
      <c r="K32" s="77">
        <f>ROUND(H32*I32,2)</f>
        <v>2158.52</v>
      </c>
      <c r="L32" s="78"/>
    </row>
    <row r="33" spans="1:12" ht="45" customHeight="1" x14ac:dyDescent="0.25">
      <c r="A33" s="16" t="s">
        <v>46</v>
      </c>
      <c r="B33" s="16" t="str">
        <f>VLOOKUP(A33,MEMORIA!A:P,2,FALSE)</f>
        <v>Comp8</v>
      </c>
      <c r="C33" s="74" t="str">
        <f>VLOOKUP(A33,MEMORIA!A:P,3,FALSE)</f>
        <v>RETIRADA DE ENTULHO DA OBRA UTILIZANDO CAIXA COLETORA CAPACIDADE 5 M3 (REF. 10033/ORSE)</v>
      </c>
      <c r="D33" s="74"/>
      <c r="E33" s="74"/>
      <c r="F33" s="74"/>
      <c r="G33" s="16" t="str">
        <f>VLOOKUP(A33,MEMORIA!A:P,7,FALSE)</f>
        <v>M3</v>
      </c>
      <c r="H33" s="17">
        <f>VLOOKUP(A33,MEMORIA!A:P,16,FALSE)</f>
        <v>6</v>
      </c>
      <c r="I33" s="75">
        <f>VLOOKUP("TOTAL - "&amp;B33,COMPOSICAO!A:K,10,FALSE)</f>
        <v>60.17</v>
      </c>
      <c r="J33" s="76"/>
      <c r="K33" s="77">
        <f>ROUND(H33*I33,2)</f>
        <v>361.02</v>
      </c>
      <c r="L33" s="78"/>
    </row>
    <row r="34" spans="1:12" ht="15" customHeight="1" x14ac:dyDescent="0.25">
      <c r="A34" s="3"/>
      <c r="B34" s="3"/>
      <c r="C34" s="3"/>
      <c r="D34" s="3"/>
      <c r="E34" s="3"/>
      <c r="F34" s="3"/>
      <c r="G34" s="3"/>
      <c r="H34" s="3"/>
      <c r="I34" s="3"/>
      <c r="J34" s="3"/>
      <c r="K34" s="3"/>
      <c r="L34" s="3"/>
    </row>
    <row r="35" spans="1:12" ht="15" customHeight="1" x14ac:dyDescent="0.25">
      <c r="A35" s="50" t="s">
        <v>22</v>
      </c>
      <c r="B35" s="51"/>
      <c r="C35" s="51"/>
      <c r="D35" s="51"/>
      <c r="E35" s="51"/>
      <c r="F35" s="51"/>
      <c r="G35" s="51"/>
      <c r="H35" s="51"/>
      <c r="I35" s="51"/>
      <c r="J35" s="52"/>
      <c r="K35" s="68">
        <f>SUM(K7,K11,K14,K19,K22,K25,K28,K31,)</f>
        <v>65641.929999999993</v>
      </c>
      <c r="L35" s="69"/>
    </row>
  </sheetData>
  <sheetProtection formatCells="0" formatColumns="0" formatRows="0" insertColumns="0" insertRows="0" insertHyperlinks="0" deleteColumns="0" deleteRows="0" sort="0" autoFilter="0" pivotTables="0"/>
  <mergeCells count="60">
    <mergeCell ref="A1:L1"/>
    <mergeCell ref="A2:L2"/>
    <mergeCell ref="A3:L3"/>
    <mergeCell ref="C6:F6"/>
    <mergeCell ref="I6:J6"/>
    <mergeCell ref="K6:L6"/>
    <mergeCell ref="B14:J14"/>
    <mergeCell ref="K14:L14"/>
    <mergeCell ref="B7:J7"/>
    <mergeCell ref="K7:L7"/>
    <mergeCell ref="C8:F8"/>
    <mergeCell ref="I8:J8"/>
    <mergeCell ref="K8:L8"/>
    <mergeCell ref="C9:F9"/>
    <mergeCell ref="I9:J9"/>
    <mergeCell ref="K9:L9"/>
    <mergeCell ref="B11:J11"/>
    <mergeCell ref="K11:L11"/>
    <mergeCell ref="C12:F12"/>
    <mergeCell ref="I12:J12"/>
    <mergeCell ref="K12:L12"/>
    <mergeCell ref="C20:F20"/>
    <mergeCell ref="I20:J20"/>
    <mergeCell ref="K20:L20"/>
    <mergeCell ref="C15:F15"/>
    <mergeCell ref="I15:J15"/>
    <mergeCell ref="K15:L15"/>
    <mergeCell ref="C16:F16"/>
    <mergeCell ref="I16:J16"/>
    <mergeCell ref="K16:L16"/>
    <mergeCell ref="C17:F17"/>
    <mergeCell ref="I17:J17"/>
    <mergeCell ref="K17:L17"/>
    <mergeCell ref="B19:J19"/>
    <mergeCell ref="K19:L19"/>
    <mergeCell ref="C29:F29"/>
    <mergeCell ref="I29:J29"/>
    <mergeCell ref="K29:L29"/>
    <mergeCell ref="B22:J22"/>
    <mergeCell ref="K22:L22"/>
    <mergeCell ref="C23:F23"/>
    <mergeCell ref="I23:J23"/>
    <mergeCell ref="K23:L23"/>
    <mergeCell ref="B25:J25"/>
    <mergeCell ref="K25:L25"/>
    <mergeCell ref="C26:F26"/>
    <mergeCell ref="I26:J26"/>
    <mergeCell ref="K26:L26"/>
    <mergeCell ref="B28:J28"/>
    <mergeCell ref="K28:L28"/>
    <mergeCell ref="A35:J35"/>
    <mergeCell ref="K35:L35"/>
    <mergeCell ref="B31:J31"/>
    <mergeCell ref="K31:L31"/>
    <mergeCell ref="C32:F32"/>
    <mergeCell ref="I32:J32"/>
    <mergeCell ref="K32:L32"/>
    <mergeCell ref="C33:F33"/>
    <mergeCell ref="I33:J33"/>
    <mergeCell ref="K33:L33"/>
  </mergeCells>
  <pageMargins left="0.7" right="0.7" top="0.75" bottom="0.75" header="0.3" footer="0.3"/>
  <pageSetup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view="pageBreakPreview" topLeftCell="A61" zoomScale="60" zoomScaleNormal="100" workbookViewId="0">
      <selection activeCell="A15" sqref="A15:K15"/>
    </sheetView>
  </sheetViews>
  <sheetFormatPr defaultRowHeight="15" customHeight="1" x14ac:dyDescent="0.25"/>
  <cols>
    <col min="1" max="1" width="14.7109375" style="1" customWidth="1"/>
    <col min="2" max="2" width="12.7109375" style="1" customWidth="1"/>
    <col min="3" max="3" width="9.7109375" style="1" customWidth="1"/>
    <col min="4" max="4" width="8.7109375" style="1" customWidth="1"/>
    <col min="5" max="5" width="25.7109375" style="1" customWidth="1"/>
    <col min="6" max="6" width="20.85546875" style="1" customWidth="1"/>
    <col min="7" max="7" width="15.5703125" style="1" customWidth="1"/>
    <col min="8" max="9" width="16.7109375" style="1" customWidth="1"/>
    <col min="10" max="10" width="16.5703125" style="1" customWidth="1"/>
    <col min="11" max="11" width="14.42578125" style="1" customWidth="1"/>
    <col min="12" max="12" width="16.7109375" style="1" customWidth="1"/>
    <col min="13" max="13" width="28.5703125" style="1" customWidth="1"/>
    <col min="14" max="14" width="7.5703125" style="1" customWidth="1"/>
    <col min="15" max="16" width="22.85546875" style="1" customWidth="1"/>
    <col min="17" max="16384" width="9.140625" style="1"/>
  </cols>
  <sheetData>
    <row r="1" spans="1:14" ht="15" customHeight="1" x14ac:dyDescent="0.25">
      <c r="A1" s="49" t="str">
        <f>CIDADE</f>
        <v>MUNICÍPIO DE SAO RAIMUNDO NONATO - PI</v>
      </c>
      <c r="B1" s="49"/>
      <c r="C1" s="49"/>
      <c r="D1" s="49"/>
      <c r="E1" s="49"/>
      <c r="F1" s="49"/>
      <c r="G1" s="49"/>
      <c r="H1" s="49"/>
      <c r="I1" s="49"/>
      <c r="J1" s="49"/>
      <c r="K1" s="49"/>
    </row>
    <row r="2" spans="1:14" ht="15" customHeight="1" x14ac:dyDescent="0.25">
      <c r="A2" s="49" t="str">
        <f>OBRA</f>
        <v>ESPAÇO DA CIDADANIA</v>
      </c>
      <c r="B2" s="49"/>
      <c r="C2" s="49"/>
      <c r="D2" s="49"/>
      <c r="E2" s="49"/>
      <c r="F2" s="49"/>
      <c r="G2" s="49"/>
      <c r="H2" s="49"/>
      <c r="I2" s="49"/>
      <c r="J2" s="49"/>
      <c r="K2" s="49"/>
    </row>
    <row r="3" spans="1:14" ht="15" customHeight="1" x14ac:dyDescent="0.25">
      <c r="A3" s="49" t="s">
        <v>109</v>
      </c>
      <c r="B3" s="49"/>
      <c r="C3" s="49"/>
      <c r="D3" s="49"/>
      <c r="E3" s="49"/>
      <c r="F3" s="49"/>
      <c r="G3" s="49"/>
      <c r="H3" s="49"/>
      <c r="I3" s="49"/>
      <c r="J3" s="49"/>
      <c r="K3" s="49"/>
    </row>
    <row r="4" spans="1:14" ht="15" customHeight="1" x14ac:dyDescent="0.25">
      <c r="A4" s="3"/>
      <c r="B4" s="3"/>
      <c r="C4" s="3"/>
      <c r="D4" s="3"/>
      <c r="E4" s="3"/>
      <c r="F4" s="3"/>
      <c r="G4" s="3"/>
      <c r="H4" s="3"/>
      <c r="I4" s="3"/>
      <c r="J4" s="3"/>
      <c r="K4" s="3"/>
      <c r="L4" s="3"/>
      <c r="M4" s="3"/>
      <c r="N4" s="3"/>
    </row>
    <row r="5" spans="1:14" ht="15" customHeight="1" x14ac:dyDescent="0.25">
      <c r="A5" s="2" t="s">
        <v>3</v>
      </c>
      <c r="B5" s="4" t="str">
        <f>FONTE&amp;ONERA</f>
        <v>SINAPI PI-12/2021, SEINFRA 27, ORSE-11/2021, SEM DESONERAÇÃO</v>
      </c>
      <c r="C5" s="2"/>
      <c r="D5" s="2"/>
      <c r="E5" s="2"/>
      <c r="G5" s="3"/>
      <c r="H5" s="2" t="s">
        <v>6</v>
      </c>
      <c r="I5" s="5">
        <f>LEI</f>
        <v>111.86</v>
      </c>
      <c r="J5" s="2" t="s">
        <v>7</v>
      </c>
      <c r="K5" s="5">
        <f>BDI</f>
        <v>20.34</v>
      </c>
      <c r="L5" s="3"/>
      <c r="M5" s="3"/>
      <c r="N5" s="3"/>
    </row>
    <row r="6" spans="1:14" ht="15" customHeight="1" x14ac:dyDescent="0.25">
      <c r="A6" s="10" t="s">
        <v>110</v>
      </c>
      <c r="B6" s="10" t="s">
        <v>31</v>
      </c>
      <c r="C6" s="79" t="s">
        <v>8</v>
      </c>
      <c r="D6" s="80"/>
      <c r="E6" s="80"/>
      <c r="F6" s="80"/>
      <c r="G6" s="6" t="s">
        <v>32</v>
      </c>
      <c r="H6" s="6" t="s">
        <v>111</v>
      </c>
      <c r="I6" s="6" t="s">
        <v>112</v>
      </c>
      <c r="J6" s="51" t="s">
        <v>10</v>
      </c>
      <c r="K6" s="52"/>
    </row>
    <row r="7" spans="1:14" ht="30" customHeight="1" x14ac:dyDescent="0.25">
      <c r="A7" s="6" t="s">
        <v>113</v>
      </c>
      <c r="B7" s="20">
        <v>90777</v>
      </c>
      <c r="C7" s="81" t="str">
        <f>VLOOKUP(B7,S!$A:$D,2,FALSE)</f>
        <v>ENGENHEIRO CIVIL DE OBRA JUNIOR COM ENCARGOS COMPLEMENTARES</v>
      </c>
      <c r="D7" s="81"/>
      <c r="E7" s="81"/>
      <c r="F7" s="82"/>
      <c r="G7" s="6" t="str">
        <f>VLOOKUP(B7,S!$A:$D,3,FALSE)</f>
        <v>H</v>
      </c>
      <c r="H7" s="21"/>
      <c r="I7" s="21">
        <f>J14</f>
        <v>92.660000000000011</v>
      </c>
      <c r="J7" s="73"/>
      <c r="K7" s="69"/>
      <c r="L7" s="21">
        <f>VLOOKUP(B7,S!$A:$D,4,FALSE)</f>
        <v>92.66</v>
      </c>
      <c r="M7" s="6" t="str">
        <f>IF(ROUND((L7-I7),2)=0,"OK, confere com a tabela.",IF(ROUND((L7-I7),2)&lt;0,"ACIMA ("&amp;TEXT(ROUND(I7*100/L7,4),"0,0000")&amp;" %) da tabela.","ABAIXO ("&amp;TEXT(ROUND(I7*100/L7,4),"0,0000")&amp;" %) da tabela."))</f>
        <v>OK, confere com a tabela.</v>
      </c>
    </row>
    <row r="8" spans="1:14" ht="15" customHeight="1" x14ac:dyDescent="0.25">
      <c r="A8" s="16" t="s">
        <v>114</v>
      </c>
      <c r="B8" s="19">
        <v>2706</v>
      </c>
      <c r="C8" s="74" t="str">
        <f>VLOOKUP(B8,IF(A8="COMPOSICAO",S!$A:$D,I!$A:$D),2,FALSE)</f>
        <v>ENGENHEIRO CIVIL DE OBRA JUNIOR</v>
      </c>
      <c r="D8" s="74"/>
      <c r="E8" s="74"/>
      <c r="F8" s="74"/>
      <c r="G8" s="16" t="str">
        <f>VLOOKUP(B8,IF(A8="COMPOSICAO",S!$A:$D,I!$A:$D),3,FALSE)</f>
        <v>H</v>
      </c>
      <c r="H8" s="22">
        <f>1</f>
        <v>1</v>
      </c>
      <c r="I8" s="17">
        <f>IF(A8="COMPOSICAO",VLOOKUP("TOTAL - "&amp;B8,COMPOSICAO_AUX_1!$A:$J,10,FALSE),VLOOKUP(B8,I!$A:$D,4,FALSE))</f>
        <v>90.04</v>
      </c>
      <c r="J8" s="77">
        <f t="shared" ref="J8:J13" si="0">TRUNC(H8*I8,2)</f>
        <v>90.04</v>
      </c>
      <c r="K8" s="78"/>
      <c r="L8" s="3"/>
      <c r="M8" s="3"/>
      <c r="N8" s="3"/>
    </row>
    <row r="9" spans="1:14" ht="15" customHeight="1" x14ac:dyDescent="0.25">
      <c r="A9" s="16" t="s">
        <v>114</v>
      </c>
      <c r="B9" s="19">
        <v>37372</v>
      </c>
      <c r="C9" s="74" t="str">
        <f>VLOOKUP(B9,IF(A9="COMPOSICAO",S!$A:$D,I!$A:$D),2,FALSE)</f>
        <v>EXAMES - HORISTA (COLETADO CAIXA)</v>
      </c>
      <c r="D9" s="74"/>
      <c r="E9" s="74"/>
      <c r="F9" s="74"/>
      <c r="G9" s="16" t="str">
        <f>VLOOKUP(B9,IF(A9="COMPOSICAO",S!$A:$D,I!$A:$D),3,FALSE)</f>
        <v>H</v>
      </c>
      <c r="H9" s="22">
        <f>1</f>
        <v>1</v>
      </c>
      <c r="I9" s="17">
        <f>IF(A9="COMPOSICAO",VLOOKUP("TOTAL - "&amp;B9,COMPOSICAO_AUX_1!$A:$J,10,FALSE),VLOOKUP(B9,I!$A:$D,4,FALSE))</f>
        <v>0.81</v>
      </c>
      <c r="J9" s="77">
        <f t="shared" si="0"/>
        <v>0.81</v>
      </c>
      <c r="K9" s="78"/>
      <c r="L9" s="3"/>
      <c r="M9" s="3"/>
      <c r="N9" s="3"/>
    </row>
    <row r="10" spans="1:14" ht="15" customHeight="1" x14ac:dyDescent="0.25">
      <c r="A10" s="16" t="s">
        <v>114</v>
      </c>
      <c r="B10" s="19">
        <v>37373</v>
      </c>
      <c r="C10" s="74" t="str">
        <f>VLOOKUP(B10,IF(A10="COMPOSICAO",S!$A:$D,I!$A:$D),2,FALSE)</f>
        <v>SEGURO - HORISTA (COLETADO CAIXA)</v>
      </c>
      <c r="D10" s="74"/>
      <c r="E10" s="74"/>
      <c r="F10" s="74"/>
      <c r="G10" s="16" t="str">
        <f>VLOOKUP(B10,IF(A10="COMPOSICAO",S!$A:$D,I!$A:$D),3,FALSE)</f>
        <v>H</v>
      </c>
      <c r="H10" s="22">
        <f>1</f>
        <v>1</v>
      </c>
      <c r="I10" s="17">
        <f>IF(A10="COMPOSICAO",VLOOKUP("TOTAL - "&amp;B10,COMPOSICAO_AUX_1!$A:$J,10,FALSE),VLOOKUP(B10,I!$A:$D,4,FALSE))</f>
        <v>0.06</v>
      </c>
      <c r="J10" s="77">
        <f t="shared" si="0"/>
        <v>0.06</v>
      </c>
      <c r="K10" s="78"/>
      <c r="L10" s="3"/>
      <c r="M10" s="3"/>
      <c r="N10" s="3"/>
    </row>
    <row r="11" spans="1:14" ht="45" customHeight="1" x14ac:dyDescent="0.25">
      <c r="A11" s="16" t="s">
        <v>114</v>
      </c>
      <c r="B11" s="19">
        <v>43462</v>
      </c>
      <c r="C11" s="74" t="str">
        <f>VLOOKUP(B11,IF(A11="COMPOSICAO",S!$A:$D,I!$A:$D),2,FALSE)</f>
        <v>FERRAMENTAS - FAMILIA ENGENHEIRO CIVIL - HORISTA (ENCARGOS COMPLEMENTARES - COLETADO CAIXA)</v>
      </c>
      <c r="D11" s="74"/>
      <c r="E11" s="74"/>
      <c r="F11" s="74"/>
      <c r="G11" s="16" t="str">
        <f>VLOOKUP(B11,IF(A11="COMPOSICAO",S!$A:$D,I!$A:$D),3,FALSE)</f>
        <v>H</v>
      </c>
      <c r="H11" s="22">
        <f>1</f>
        <v>1</v>
      </c>
      <c r="I11" s="17">
        <f>IF(A11="COMPOSICAO",VLOOKUP("TOTAL - "&amp;B11,COMPOSICAO_AUX_1!$A:$J,10,FALSE),VLOOKUP(B11,I!$A:$D,4,FALSE))</f>
        <v>0.01</v>
      </c>
      <c r="J11" s="77">
        <f t="shared" si="0"/>
        <v>0.01</v>
      </c>
      <c r="K11" s="78"/>
      <c r="L11" s="3"/>
      <c r="M11" s="3"/>
      <c r="N11" s="3"/>
    </row>
    <row r="12" spans="1:14" ht="30" customHeight="1" x14ac:dyDescent="0.25">
      <c r="A12" s="16" t="s">
        <v>114</v>
      </c>
      <c r="B12" s="19">
        <v>43486</v>
      </c>
      <c r="C12" s="74" t="str">
        <f>VLOOKUP(B12,IF(A12="COMPOSICAO",S!$A:$D,I!$A:$D),2,FALSE)</f>
        <v>EPI - FAMILIA ENGENHEIRO CIVIL - HORISTA (ENCARGOS COMPLEMENTARES - COLETADO CAIXA)</v>
      </c>
      <c r="D12" s="74"/>
      <c r="E12" s="74"/>
      <c r="F12" s="74"/>
      <c r="G12" s="16" t="str">
        <f>VLOOKUP(B12,IF(A12="COMPOSICAO",S!$A:$D,I!$A:$D),3,FALSE)</f>
        <v>H</v>
      </c>
      <c r="H12" s="22">
        <f>1</f>
        <v>1</v>
      </c>
      <c r="I12" s="17">
        <f>IF(A12="COMPOSICAO",VLOOKUP("TOTAL - "&amp;B12,COMPOSICAO_AUX_1!$A:$J,10,FALSE),VLOOKUP(B12,I!$A:$D,4,FALSE))</f>
        <v>0.66</v>
      </c>
      <c r="J12" s="77">
        <f t="shared" si="0"/>
        <v>0.66</v>
      </c>
      <c r="K12" s="78"/>
      <c r="L12" s="3"/>
      <c r="M12" s="3"/>
      <c r="N12" s="3"/>
    </row>
    <row r="13" spans="1:14" ht="45" customHeight="1" x14ac:dyDescent="0.25">
      <c r="A13" s="16" t="s">
        <v>115</v>
      </c>
      <c r="B13" s="19">
        <v>95402</v>
      </c>
      <c r="C13" s="74" t="str">
        <f>VLOOKUP(B13,IF(A13="COMPOSICAO",S!$A:$D,I!$A:$D),2,FALSE)</f>
        <v>CURSO DE CAPACITAÇÃO PARA ENGENHEIRO CIVIL DE OBRA JÚNIOR (ENCARGOS COMPLEMENTARES) - HORISTA</v>
      </c>
      <c r="D13" s="74"/>
      <c r="E13" s="74"/>
      <c r="F13" s="74"/>
      <c r="G13" s="16" t="str">
        <f>VLOOKUP(B13,IF(A13="COMPOSICAO",S!$A:$D,I!$A:$D),3,FALSE)</f>
        <v>H</v>
      </c>
      <c r="H13" s="22">
        <f>1</f>
        <v>1</v>
      </c>
      <c r="I13" s="17">
        <f>IF(A13="COMPOSICAO",VLOOKUP("TOTAL - "&amp;B13,COMPOSICAO_AUX_1!$A:$J,10,FALSE),VLOOKUP(B13,I!$A:$D,4,FALSE))</f>
        <v>1.08</v>
      </c>
      <c r="J13" s="77">
        <f t="shared" si="0"/>
        <v>1.08</v>
      </c>
      <c r="K13" s="78"/>
      <c r="L13" s="3"/>
      <c r="M13" s="3"/>
      <c r="N13" s="3"/>
    </row>
    <row r="14" spans="1:14" ht="15" customHeight="1" x14ac:dyDescent="0.25">
      <c r="A14" s="23" t="s">
        <v>116</v>
      </c>
      <c r="B14" s="24"/>
      <c r="C14" s="24"/>
      <c r="D14" s="24"/>
      <c r="E14" s="24"/>
      <c r="F14" s="24"/>
      <c r="G14" s="25"/>
      <c r="H14" s="26"/>
      <c r="I14" s="27"/>
      <c r="J14" s="77">
        <f>SUM(J7:K13)</f>
        <v>92.660000000000011</v>
      </c>
      <c r="K14" s="78"/>
    </row>
    <row r="15" spans="1:14" ht="15" customHeight="1" x14ac:dyDescent="0.25">
      <c r="A15" s="23" t="str">
        <f>"TAXA DE BDI ("&amp;BDI&amp;" %)"</f>
        <v>TAXA DE BDI (20,34 %)</v>
      </c>
      <c r="B15" s="24"/>
      <c r="C15" s="24"/>
      <c r="D15" s="24"/>
      <c r="E15" s="24"/>
      <c r="F15" s="24"/>
      <c r="G15" s="25"/>
      <c r="H15" s="26"/>
      <c r="I15" s="27"/>
      <c r="J15" s="77">
        <f>ROUND(J14*(BDI/100),2)</f>
        <v>18.850000000000001</v>
      </c>
      <c r="K15" s="78"/>
    </row>
    <row r="16" spans="1:14" ht="15" customHeight="1" x14ac:dyDescent="0.25">
      <c r="A16" s="23" t="s">
        <v>117</v>
      </c>
      <c r="B16" s="24"/>
      <c r="C16" s="24"/>
      <c r="D16" s="24"/>
      <c r="E16" s="24"/>
      <c r="F16" s="24"/>
      <c r="G16" s="25"/>
      <c r="H16" s="26"/>
      <c r="I16" s="27"/>
      <c r="J16" s="77">
        <f>SUM(J14:K15)</f>
        <v>111.51000000000002</v>
      </c>
      <c r="K16" s="78"/>
    </row>
    <row r="17" spans="1:14" ht="15" customHeight="1" x14ac:dyDescent="0.25">
      <c r="A17" s="3"/>
      <c r="B17" s="3"/>
      <c r="C17" s="3"/>
      <c r="D17" s="3"/>
      <c r="E17" s="3"/>
      <c r="F17" s="3"/>
      <c r="G17" s="3"/>
      <c r="H17" s="3"/>
      <c r="I17" s="3"/>
      <c r="J17" s="3"/>
      <c r="K17" s="3"/>
    </row>
    <row r="18" spans="1:14" ht="15" customHeight="1" x14ac:dyDescent="0.25">
      <c r="A18" s="10" t="s">
        <v>110</v>
      </c>
      <c r="B18" s="10" t="s">
        <v>31</v>
      </c>
      <c r="C18" s="79" t="s">
        <v>8</v>
      </c>
      <c r="D18" s="80"/>
      <c r="E18" s="80"/>
      <c r="F18" s="80"/>
      <c r="G18" s="6" t="s">
        <v>32</v>
      </c>
      <c r="H18" s="6" t="s">
        <v>111</v>
      </c>
      <c r="I18" s="6" t="s">
        <v>112</v>
      </c>
      <c r="J18" s="51" t="s">
        <v>10</v>
      </c>
      <c r="K18" s="52"/>
    </row>
    <row r="19" spans="1:14" ht="15" customHeight="1" x14ac:dyDescent="0.25">
      <c r="A19" s="6" t="s">
        <v>113</v>
      </c>
      <c r="B19" s="20">
        <v>90780</v>
      </c>
      <c r="C19" s="81" t="str">
        <f>VLOOKUP(B19,S!$A:$D,2,FALSE)</f>
        <v>MESTRE DE OBRAS COM ENCARGOS COMPLEMENTARES</v>
      </c>
      <c r="D19" s="81"/>
      <c r="E19" s="81"/>
      <c r="F19" s="82"/>
      <c r="G19" s="6" t="str">
        <f>VLOOKUP(B19,S!$A:$D,3,FALSE)</f>
        <v>H</v>
      </c>
      <c r="H19" s="21"/>
      <c r="I19" s="21">
        <f>J26</f>
        <v>38.070000000000007</v>
      </c>
      <c r="J19" s="73"/>
      <c r="K19" s="69"/>
      <c r="L19" s="21">
        <f>VLOOKUP(B19,S!$A:$D,4,FALSE)</f>
        <v>38.07</v>
      </c>
      <c r="M19" s="6" t="str">
        <f>IF(ROUND((L19-I19),2)=0,"OK, confere com a tabela.",IF(ROUND((L19-I19),2)&lt;0,"ACIMA ("&amp;TEXT(ROUND(I19*100/L19,4),"0,0000")&amp;" %) da tabela.","ABAIXO ("&amp;TEXT(ROUND(I19*100/L19,4),"0,0000")&amp;" %) da tabela."))</f>
        <v>OK, confere com a tabela.</v>
      </c>
    </row>
    <row r="20" spans="1:14" ht="15" customHeight="1" x14ac:dyDescent="0.25">
      <c r="A20" s="16" t="s">
        <v>114</v>
      </c>
      <c r="B20" s="19">
        <v>4069</v>
      </c>
      <c r="C20" s="74" t="str">
        <f>VLOOKUP(B20,IF(A20="COMPOSICAO",S!$A:$D,I!$A:$D),2,FALSE)</f>
        <v>MESTRE DE OBRAS</v>
      </c>
      <c r="D20" s="74"/>
      <c r="E20" s="74"/>
      <c r="F20" s="74"/>
      <c r="G20" s="16" t="str">
        <f>VLOOKUP(B20,IF(A20="COMPOSICAO",S!$A:$D,I!$A:$D),3,FALSE)</f>
        <v>H</v>
      </c>
      <c r="H20" s="22">
        <f>1</f>
        <v>1</v>
      </c>
      <c r="I20" s="17">
        <f>IF(A20="COMPOSICAO",VLOOKUP("TOTAL - "&amp;B20,COMPOSICAO_AUX_1!$A:$J,10,FALSE),VLOOKUP(B20,I!$A:$D,4,FALSE))</f>
        <v>35.42</v>
      </c>
      <c r="J20" s="77">
        <f t="shared" ref="J20:J25" si="1">TRUNC(H20*I20,2)</f>
        <v>35.42</v>
      </c>
      <c r="K20" s="78"/>
      <c r="L20" s="3"/>
      <c r="M20" s="3"/>
      <c r="N20" s="3"/>
    </row>
    <row r="21" spans="1:14" ht="15" customHeight="1" x14ac:dyDescent="0.25">
      <c r="A21" s="16" t="s">
        <v>114</v>
      </c>
      <c r="B21" s="19">
        <v>37372</v>
      </c>
      <c r="C21" s="74" t="str">
        <f>VLOOKUP(B21,IF(A21="COMPOSICAO",S!$A:$D,I!$A:$D),2,FALSE)</f>
        <v>EXAMES - HORISTA (COLETADO CAIXA)</v>
      </c>
      <c r="D21" s="74"/>
      <c r="E21" s="74"/>
      <c r="F21" s="74"/>
      <c r="G21" s="16" t="str">
        <f>VLOOKUP(B21,IF(A21="COMPOSICAO",S!$A:$D,I!$A:$D),3,FALSE)</f>
        <v>H</v>
      </c>
      <c r="H21" s="22">
        <f>1</f>
        <v>1</v>
      </c>
      <c r="I21" s="17">
        <f>IF(A21="COMPOSICAO",VLOOKUP("TOTAL - "&amp;B21,COMPOSICAO_AUX_1!$A:$J,10,FALSE),VLOOKUP(B21,I!$A:$D,4,FALSE))</f>
        <v>0.81</v>
      </c>
      <c r="J21" s="77">
        <f t="shared" si="1"/>
        <v>0.81</v>
      </c>
      <c r="K21" s="78"/>
      <c r="L21" s="3"/>
      <c r="M21" s="3"/>
      <c r="N21" s="3"/>
    </row>
    <row r="22" spans="1:14" ht="15" customHeight="1" x14ac:dyDescent="0.25">
      <c r="A22" s="16" t="s">
        <v>114</v>
      </c>
      <c r="B22" s="19">
        <v>37373</v>
      </c>
      <c r="C22" s="74" t="str">
        <f>VLOOKUP(B22,IF(A22="COMPOSICAO",S!$A:$D,I!$A:$D),2,FALSE)</f>
        <v>SEGURO - HORISTA (COLETADO CAIXA)</v>
      </c>
      <c r="D22" s="74"/>
      <c r="E22" s="74"/>
      <c r="F22" s="74"/>
      <c r="G22" s="16" t="str">
        <f>VLOOKUP(B22,IF(A22="COMPOSICAO",S!$A:$D,I!$A:$D),3,FALSE)</f>
        <v>H</v>
      </c>
      <c r="H22" s="22">
        <f>1</f>
        <v>1</v>
      </c>
      <c r="I22" s="17">
        <f>IF(A22="COMPOSICAO",VLOOKUP("TOTAL - "&amp;B22,COMPOSICAO_AUX_1!$A:$J,10,FALSE),VLOOKUP(B22,I!$A:$D,4,FALSE))</f>
        <v>0.06</v>
      </c>
      <c r="J22" s="77">
        <f t="shared" si="1"/>
        <v>0.06</v>
      </c>
      <c r="K22" s="78"/>
      <c r="L22" s="3"/>
      <c r="M22" s="3"/>
      <c r="N22" s="3"/>
    </row>
    <row r="23" spans="1:14" ht="45" customHeight="1" x14ac:dyDescent="0.25">
      <c r="A23" s="16" t="s">
        <v>114</v>
      </c>
      <c r="B23" s="19">
        <v>43463</v>
      </c>
      <c r="C23" s="74" t="str">
        <f>VLOOKUP(B23,IF(A23="COMPOSICAO",S!$A:$D,I!$A:$D),2,FALSE)</f>
        <v>FERRAMENTAS - FAMILIA ENCARREGADO GERAL - HORISTA (ENCARGOS COMPLEMENTARES - COLETADO CAIXA)</v>
      </c>
      <c r="D23" s="74"/>
      <c r="E23" s="74"/>
      <c r="F23" s="74"/>
      <c r="G23" s="16" t="str">
        <f>VLOOKUP(B23,IF(A23="COMPOSICAO",S!$A:$D,I!$A:$D),3,FALSE)</f>
        <v>H</v>
      </c>
      <c r="H23" s="22">
        <f>1</f>
        <v>1</v>
      </c>
      <c r="I23" s="17">
        <f>IF(A23="COMPOSICAO",VLOOKUP("TOTAL - "&amp;B23,COMPOSICAO_AUX_1!$A:$J,10,FALSE),VLOOKUP(B23,I!$A:$D,4,FALSE))</f>
        <v>0.1</v>
      </c>
      <c r="J23" s="77">
        <f t="shared" si="1"/>
        <v>0.1</v>
      </c>
      <c r="K23" s="78"/>
      <c r="L23" s="3"/>
      <c r="M23" s="3"/>
      <c r="N23" s="3"/>
    </row>
    <row r="24" spans="1:14" ht="30" customHeight="1" x14ac:dyDescent="0.25">
      <c r="A24" s="16" t="s">
        <v>114</v>
      </c>
      <c r="B24" s="19">
        <v>43487</v>
      </c>
      <c r="C24" s="74" t="str">
        <f>VLOOKUP(B24,IF(A24="COMPOSICAO",S!$A:$D,I!$A:$D),2,FALSE)</f>
        <v>EPI - FAMILIA ENCARREGADO GERAL - HORISTA (ENCARGOS COMPLEMENTARES - COLETADO CAIXA)</v>
      </c>
      <c r="D24" s="74"/>
      <c r="E24" s="74"/>
      <c r="F24" s="74"/>
      <c r="G24" s="16" t="str">
        <f>VLOOKUP(B24,IF(A24="COMPOSICAO",S!$A:$D,I!$A:$D),3,FALSE)</f>
        <v>H</v>
      </c>
      <c r="H24" s="22">
        <f>1</f>
        <v>1</v>
      </c>
      <c r="I24" s="17">
        <f>IF(A24="COMPOSICAO",VLOOKUP("TOTAL - "&amp;B24,COMPOSICAO_AUX_1!$A:$J,10,FALSE),VLOOKUP(B24,I!$A:$D,4,FALSE))</f>
        <v>1.08</v>
      </c>
      <c r="J24" s="77">
        <f t="shared" si="1"/>
        <v>1.08</v>
      </c>
      <c r="K24" s="78"/>
      <c r="L24" s="3"/>
      <c r="M24" s="3"/>
      <c r="N24" s="3"/>
    </row>
    <row r="25" spans="1:14" ht="30" customHeight="1" x14ac:dyDescent="0.25">
      <c r="A25" s="16" t="s">
        <v>115</v>
      </c>
      <c r="B25" s="19">
        <v>95405</v>
      </c>
      <c r="C25" s="74" t="str">
        <f>VLOOKUP(B25,IF(A25="COMPOSICAO",S!$A:$D,I!$A:$D),2,FALSE)</f>
        <v>CURSO DE CAPACITAÇÃO PARA MESTRE DE OBRAS (ENCARGOS COMPLEMENTARES) - HORISTA</v>
      </c>
      <c r="D25" s="74"/>
      <c r="E25" s="74"/>
      <c r="F25" s="74"/>
      <c r="G25" s="16" t="str">
        <f>VLOOKUP(B25,IF(A25="COMPOSICAO",S!$A:$D,I!$A:$D),3,FALSE)</f>
        <v>H</v>
      </c>
      <c r="H25" s="22">
        <f>1</f>
        <v>1</v>
      </c>
      <c r="I25" s="17">
        <f>IF(A25="COMPOSICAO",VLOOKUP("TOTAL - "&amp;B25,COMPOSICAO_AUX_1!$A:$J,10,FALSE),VLOOKUP(B25,I!$A:$D,4,FALSE))</f>
        <v>0.6</v>
      </c>
      <c r="J25" s="77">
        <f t="shared" si="1"/>
        <v>0.6</v>
      </c>
      <c r="K25" s="78"/>
      <c r="L25" s="3"/>
      <c r="M25" s="3"/>
      <c r="N25" s="3"/>
    </row>
    <row r="26" spans="1:14" ht="15" customHeight="1" x14ac:dyDescent="0.25">
      <c r="A26" s="23" t="s">
        <v>116</v>
      </c>
      <c r="B26" s="24"/>
      <c r="C26" s="24"/>
      <c r="D26" s="24"/>
      <c r="E26" s="24"/>
      <c r="F26" s="24"/>
      <c r="G26" s="25"/>
      <c r="H26" s="26"/>
      <c r="I26" s="27"/>
      <c r="J26" s="77">
        <f>SUM(J19:K25)</f>
        <v>38.070000000000007</v>
      </c>
      <c r="K26" s="78"/>
    </row>
    <row r="27" spans="1:14" ht="15" customHeight="1" x14ac:dyDescent="0.25">
      <c r="A27" s="23" t="str">
        <f>"TAXA DE BDI ("&amp;BDI&amp;" %)"</f>
        <v>TAXA DE BDI (20,34 %)</v>
      </c>
      <c r="B27" s="24"/>
      <c r="C27" s="24"/>
      <c r="D27" s="24"/>
      <c r="E27" s="24"/>
      <c r="F27" s="24"/>
      <c r="G27" s="25"/>
      <c r="H27" s="26"/>
      <c r="I27" s="27"/>
      <c r="J27" s="77">
        <f>ROUND(J26*(BDI/100),2)</f>
        <v>7.74</v>
      </c>
      <c r="K27" s="78"/>
    </row>
    <row r="28" spans="1:14" ht="15" customHeight="1" x14ac:dyDescent="0.25">
      <c r="A28" s="23" t="s">
        <v>118</v>
      </c>
      <c r="B28" s="24"/>
      <c r="C28" s="24"/>
      <c r="D28" s="24"/>
      <c r="E28" s="24"/>
      <c r="F28" s="24"/>
      <c r="G28" s="25"/>
      <c r="H28" s="26"/>
      <c r="I28" s="27"/>
      <c r="J28" s="77">
        <f>SUM(J26:K27)</f>
        <v>45.810000000000009</v>
      </c>
      <c r="K28" s="78"/>
    </row>
    <row r="29" spans="1:14" ht="15" customHeight="1" x14ac:dyDescent="0.25">
      <c r="A29" s="3"/>
      <c r="B29" s="3"/>
      <c r="C29" s="3"/>
      <c r="D29" s="3"/>
      <c r="E29" s="3"/>
      <c r="F29" s="3"/>
      <c r="G29" s="3"/>
      <c r="H29" s="3"/>
      <c r="I29" s="3"/>
      <c r="J29" s="3"/>
      <c r="K29" s="3"/>
    </row>
    <row r="30" spans="1:14" ht="15" customHeight="1" x14ac:dyDescent="0.25">
      <c r="A30" s="10" t="s">
        <v>110</v>
      </c>
      <c r="B30" s="10" t="s">
        <v>31</v>
      </c>
      <c r="C30" s="79" t="s">
        <v>8</v>
      </c>
      <c r="D30" s="80"/>
      <c r="E30" s="80"/>
      <c r="F30" s="80"/>
      <c r="G30" s="6" t="s">
        <v>32</v>
      </c>
      <c r="H30" s="6" t="s">
        <v>111</v>
      </c>
      <c r="I30" s="6" t="s">
        <v>112</v>
      </c>
      <c r="J30" s="51" t="s">
        <v>10</v>
      </c>
      <c r="K30" s="52"/>
    </row>
    <row r="31" spans="1:14" ht="15" customHeight="1" x14ac:dyDescent="0.25">
      <c r="A31" s="6" t="s">
        <v>12</v>
      </c>
      <c r="B31" s="6" t="s">
        <v>119</v>
      </c>
      <c r="C31" s="81" t="s">
        <v>120</v>
      </c>
      <c r="D31" s="81"/>
      <c r="E31" s="81"/>
      <c r="F31" s="82"/>
      <c r="G31" s="6" t="s">
        <v>121</v>
      </c>
      <c r="H31" s="21"/>
      <c r="I31" s="21">
        <f>J39</f>
        <v>326.42000000000007</v>
      </c>
      <c r="J31" s="73"/>
      <c r="K31" s="69"/>
      <c r="L31" s="21">
        <v>0</v>
      </c>
      <c r="M31" s="6" t="s">
        <v>122</v>
      </c>
    </row>
    <row r="32" spans="1:14" ht="60" customHeight="1" x14ac:dyDescent="0.25">
      <c r="A32" s="16" t="s">
        <v>115</v>
      </c>
      <c r="B32" s="19">
        <v>94962</v>
      </c>
      <c r="C32" s="74" t="str">
        <f>VLOOKUP(B32,IF(A32="COMPOSICAO",S!$A:$D,I!$A:$D),2,FALSE)</f>
        <v>CONCRETO MAGRO PARA LASTRO, TRAÇO 1:4,5:4,5 (EM MASSA SECA DE CIMENTO/ AREIA MÉDIA/ BRITA 1) - PREPARO MECÂNICO COM BETONEIRA 400 L. AF_05/2021</v>
      </c>
      <c r="D32" s="74"/>
      <c r="E32" s="74"/>
      <c r="F32" s="74"/>
      <c r="G32" s="16" t="str">
        <f>VLOOKUP(B32,IF(A32="COMPOSICAO",S!$A:$D,I!$A:$D),3,FALSE)</f>
        <v>M3</v>
      </c>
      <c r="H32" s="22">
        <f>0.01</f>
        <v>0.01</v>
      </c>
      <c r="I32" s="17">
        <f>IF(A32="COMPOSICAO",VLOOKUP("TOTAL - "&amp;B32,COMPOSICAO_AUX_1!$A:$J,10,FALSE),VLOOKUP(B32,I!$A:$D,4,FALSE))</f>
        <v>365.88000000000005</v>
      </c>
      <c r="J32" s="77">
        <f t="shared" ref="J32:J38" si="2">TRUNC(H32*I32,2)</f>
        <v>3.65</v>
      </c>
      <c r="K32" s="78"/>
      <c r="L32" s="3"/>
      <c r="M32" s="3"/>
      <c r="N32" s="3"/>
    </row>
    <row r="33" spans="1:14" ht="30" customHeight="1" x14ac:dyDescent="0.25">
      <c r="A33" s="16" t="s">
        <v>115</v>
      </c>
      <c r="B33" s="19">
        <v>88262</v>
      </c>
      <c r="C33" s="74" t="str">
        <f>VLOOKUP(B33,IF(A33="COMPOSICAO",S!$A:$D,I!$A:$D),2,FALSE)</f>
        <v>CARPINTEIRO DE FORMAS COM ENCARGOS COMPLEMENTARES</v>
      </c>
      <c r="D33" s="74"/>
      <c r="E33" s="74"/>
      <c r="F33" s="74"/>
      <c r="G33" s="16" t="str">
        <f>VLOOKUP(B33,IF(A33="COMPOSICAO",S!$A:$D,I!$A:$D),3,FALSE)</f>
        <v>H</v>
      </c>
      <c r="H33" s="22">
        <f>1</f>
        <v>1</v>
      </c>
      <c r="I33" s="17">
        <f>IF(A33="COMPOSICAO",VLOOKUP("TOTAL - "&amp;B33,COMPOSICAO_AUX_1!$A:$J,10,FALSE),VLOOKUP(B33,I!$A:$D,4,FALSE))</f>
        <v>20.61</v>
      </c>
      <c r="J33" s="77">
        <f t="shared" si="2"/>
        <v>20.61</v>
      </c>
      <c r="K33" s="78"/>
      <c r="L33" s="3"/>
      <c r="M33" s="3"/>
      <c r="N33" s="3"/>
    </row>
    <row r="34" spans="1:14" ht="15" customHeight="1" x14ac:dyDescent="0.25">
      <c r="A34" s="16" t="s">
        <v>115</v>
      </c>
      <c r="B34" s="19">
        <v>88316</v>
      </c>
      <c r="C34" s="74" t="str">
        <f>VLOOKUP(B34,IF(A34="COMPOSICAO",S!$A:$D,I!$A:$D),2,FALSE)</f>
        <v>SERVENTE COM ENCARGOS COMPLEMENTARES</v>
      </c>
      <c r="D34" s="74"/>
      <c r="E34" s="74"/>
      <c r="F34" s="74"/>
      <c r="G34" s="16" t="str">
        <f>VLOOKUP(B34,IF(A34="COMPOSICAO",S!$A:$D,I!$A:$D),3,FALSE)</f>
        <v>H</v>
      </c>
      <c r="H34" s="22">
        <f>2</f>
        <v>2</v>
      </c>
      <c r="I34" s="17">
        <f>IF(A34="COMPOSICAO",VLOOKUP("TOTAL - "&amp;B34,COMPOSICAO_AUX_1!$A:$J,10,FALSE),VLOOKUP(B34,I!$A:$D,4,FALSE))</f>
        <v>16.329999999999998</v>
      </c>
      <c r="J34" s="77">
        <f t="shared" si="2"/>
        <v>32.659999999999997</v>
      </c>
      <c r="K34" s="78"/>
      <c r="L34" s="3"/>
      <c r="M34" s="3"/>
      <c r="N34" s="3"/>
    </row>
    <row r="35" spans="1:14" ht="45" customHeight="1" x14ac:dyDescent="0.25">
      <c r="A35" s="16" t="s">
        <v>114</v>
      </c>
      <c r="B35" s="19">
        <v>4813</v>
      </c>
      <c r="C35" s="74" t="str">
        <f>VLOOKUP(B35,IF(A35="COMPOSICAO",S!$A:$D,I!$A:$D),2,FALSE)</f>
        <v>PLACA DE OBRA (PARA CONSTRUCAO CIVIL) EM CHAPA GALVANIZADA *N. 22*, ADESIVADA, DE *2,4 X 1,2* M (SEM POSTES PARA FIXACAO)</v>
      </c>
      <c r="D35" s="74"/>
      <c r="E35" s="74"/>
      <c r="F35" s="74"/>
      <c r="G35" s="16" t="str">
        <f>VLOOKUP(B35,IF(A35="COMPOSICAO",S!$A:$D,I!$A:$D),3,FALSE)</f>
        <v>M2</v>
      </c>
      <c r="H35" s="22">
        <f>1</f>
        <v>1</v>
      </c>
      <c r="I35" s="17">
        <f>IF(A35="COMPOSICAO",VLOOKUP("TOTAL - "&amp;B35,COMPOSICAO_AUX_1!$A:$J,10,FALSE),VLOOKUP(B35,I!$A:$D,4,FALSE))</f>
        <v>225</v>
      </c>
      <c r="J35" s="77">
        <f t="shared" si="2"/>
        <v>225</v>
      </c>
      <c r="K35" s="78"/>
      <c r="L35" s="3"/>
      <c r="M35" s="3"/>
      <c r="N35" s="3"/>
    </row>
    <row r="36" spans="1:14" ht="30" customHeight="1" x14ac:dyDescent="0.25">
      <c r="A36" s="16" t="s">
        <v>114</v>
      </c>
      <c r="B36" s="19">
        <v>4491</v>
      </c>
      <c r="C36" s="74" t="str">
        <f>VLOOKUP(B36,IF(A36="COMPOSICAO",S!$A:$D,I!$A:$D),2,FALSE)</f>
        <v>PONTALETE *7,5 X 7,5* CM EM PINUS, MISTA OU EQUIVALENTE DA REGIAO - BRUTA</v>
      </c>
      <c r="D36" s="74"/>
      <c r="E36" s="74"/>
      <c r="F36" s="74"/>
      <c r="G36" s="16" t="str">
        <f>VLOOKUP(B36,IF(A36="COMPOSICAO",S!$A:$D,I!$A:$D),3,FALSE)</f>
        <v>M</v>
      </c>
      <c r="H36" s="22">
        <f>4</f>
        <v>4</v>
      </c>
      <c r="I36" s="17">
        <f>IF(A36="COMPOSICAO",VLOOKUP("TOTAL - "&amp;B36,COMPOSICAO_AUX_1!$A:$J,10,FALSE),VLOOKUP(B36,I!$A:$D,4,FALSE))</f>
        <v>9.23</v>
      </c>
      <c r="J36" s="77">
        <f t="shared" si="2"/>
        <v>36.92</v>
      </c>
      <c r="K36" s="78"/>
      <c r="L36" s="3"/>
      <c r="M36" s="3"/>
      <c r="N36" s="3"/>
    </row>
    <row r="37" spans="1:14" ht="30" customHeight="1" x14ac:dyDescent="0.25">
      <c r="A37" s="16" t="s">
        <v>114</v>
      </c>
      <c r="B37" s="19">
        <v>5075</v>
      </c>
      <c r="C37" s="74" t="str">
        <f>VLOOKUP(B37,IF(A37="COMPOSICAO",S!$A:$D,I!$A:$D),2,FALSE)</f>
        <v>PREGO DE ACO POLIDO COM CABECA 18 X 30 (2 3/4 X 10)</v>
      </c>
      <c r="D37" s="74"/>
      <c r="E37" s="74"/>
      <c r="F37" s="74"/>
      <c r="G37" s="16" t="str">
        <f>VLOOKUP(B37,IF(A37="COMPOSICAO",S!$A:$D,I!$A:$D),3,FALSE)</f>
        <v>KG</v>
      </c>
      <c r="H37" s="22">
        <f>0.11</f>
        <v>0.11</v>
      </c>
      <c r="I37" s="17">
        <f>IF(A37="COMPOSICAO",VLOOKUP("TOTAL - "&amp;B37,COMPOSICAO_AUX_1!$A:$J,10,FALSE),VLOOKUP(B37,I!$A:$D,4,FALSE))</f>
        <v>21.93</v>
      </c>
      <c r="J37" s="77">
        <f t="shared" si="2"/>
        <v>2.41</v>
      </c>
      <c r="K37" s="78"/>
      <c r="L37" s="3"/>
      <c r="M37" s="3"/>
      <c r="N37" s="3"/>
    </row>
    <row r="38" spans="1:14" ht="45" customHeight="1" x14ac:dyDescent="0.25">
      <c r="A38" s="16" t="s">
        <v>114</v>
      </c>
      <c r="B38" s="19">
        <v>4417</v>
      </c>
      <c r="C38" s="74" t="str">
        <f>VLOOKUP(B38,IF(A38="COMPOSICAO",S!$A:$D,I!$A:$D),2,FALSE)</f>
        <v>SARRAFO NAO APARELHADO *2,5 X 7* CM, EM MACARANDUBA, ANGELIM OU EQUIVALENTE DA REGIAO - BRUTA</v>
      </c>
      <c r="D38" s="74"/>
      <c r="E38" s="74"/>
      <c r="F38" s="74"/>
      <c r="G38" s="16" t="str">
        <f>VLOOKUP(B38,IF(A38="COMPOSICAO",S!$A:$D,I!$A:$D),3,FALSE)</f>
        <v>M</v>
      </c>
      <c r="H38" s="22">
        <f>1</f>
        <v>1</v>
      </c>
      <c r="I38" s="17">
        <f>IF(A38="COMPOSICAO",VLOOKUP("TOTAL - "&amp;B38,COMPOSICAO_AUX_1!$A:$J,10,FALSE),VLOOKUP(B38,I!$A:$D,4,FALSE))</f>
        <v>5.17</v>
      </c>
      <c r="J38" s="77">
        <f t="shared" si="2"/>
        <v>5.17</v>
      </c>
      <c r="K38" s="78"/>
      <c r="L38" s="3"/>
      <c r="M38" s="3"/>
      <c r="N38" s="3"/>
    </row>
    <row r="39" spans="1:14" ht="15" customHeight="1" x14ac:dyDescent="0.25">
      <c r="A39" s="23" t="s">
        <v>116</v>
      </c>
      <c r="B39" s="24"/>
      <c r="C39" s="24"/>
      <c r="D39" s="24"/>
      <c r="E39" s="24"/>
      <c r="F39" s="24"/>
      <c r="G39" s="25"/>
      <c r="H39" s="26"/>
      <c r="I39" s="27"/>
      <c r="J39" s="77">
        <f>SUM(J31:K38)</f>
        <v>326.42000000000007</v>
      </c>
      <c r="K39" s="78"/>
    </row>
    <row r="40" spans="1:14" ht="15" customHeight="1" x14ac:dyDescent="0.25">
      <c r="A40" s="23" t="str">
        <f>"TAXA DE BDI ("&amp;BDI&amp;" %)"</f>
        <v>TAXA DE BDI (20,34 %)</v>
      </c>
      <c r="B40" s="24"/>
      <c r="C40" s="24"/>
      <c r="D40" s="24"/>
      <c r="E40" s="24"/>
      <c r="F40" s="24"/>
      <c r="G40" s="25"/>
      <c r="H40" s="26"/>
      <c r="I40" s="27"/>
      <c r="J40" s="77">
        <f>ROUND(J39*(BDI/100),2)</f>
        <v>66.39</v>
      </c>
      <c r="K40" s="78"/>
    </row>
    <row r="41" spans="1:14" ht="15" customHeight="1" x14ac:dyDescent="0.25">
      <c r="A41" s="23" t="s">
        <v>123</v>
      </c>
      <c r="B41" s="24"/>
      <c r="C41" s="24"/>
      <c r="D41" s="24"/>
      <c r="E41" s="24"/>
      <c r="F41" s="24"/>
      <c r="G41" s="25"/>
      <c r="H41" s="26"/>
      <c r="I41" s="27"/>
      <c r="J41" s="77">
        <f>SUM(J39:K40)</f>
        <v>392.81000000000006</v>
      </c>
      <c r="K41" s="78"/>
    </row>
    <row r="42" spans="1:14" ht="15" customHeight="1" x14ac:dyDescent="0.25">
      <c r="A42" s="3"/>
      <c r="B42" s="3"/>
      <c r="C42" s="3"/>
      <c r="D42" s="3"/>
      <c r="E42" s="3"/>
      <c r="F42" s="3"/>
      <c r="G42" s="3"/>
      <c r="H42" s="3"/>
      <c r="I42" s="3"/>
      <c r="J42" s="3"/>
      <c r="K42" s="3"/>
    </row>
    <row r="43" spans="1:14" ht="15" customHeight="1" x14ac:dyDescent="0.25">
      <c r="A43" s="10" t="s">
        <v>110</v>
      </c>
      <c r="B43" s="10" t="s">
        <v>31</v>
      </c>
      <c r="C43" s="79" t="s">
        <v>8</v>
      </c>
      <c r="D43" s="80"/>
      <c r="E43" s="80"/>
      <c r="F43" s="80"/>
      <c r="G43" s="6" t="s">
        <v>32</v>
      </c>
      <c r="H43" s="6" t="s">
        <v>111</v>
      </c>
      <c r="I43" s="6" t="s">
        <v>112</v>
      </c>
      <c r="J43" s="51" t="s">
        <v>10</v>
      </c>
      <c r="K43" s="52"/>
    </row>
    <row r="44" spans="1:14" ht="30" customHeight="1" x14ac:dyDescent="0.25">
      <c r="A44" s="6" t="s">
        <v>124</v>
      </c>
      <c r="B44" s="20">
        <v>97663</v>
      </c>
      <c r="C44" s="81" t="str">
        <f>VLOOKUP(B44,S!$A:$D,2,FALSE)</f>
        <v>REMOÇÃO DE LOUÇAS, DE FORMA MANUAL, SEM REAPROVEITAMENTO. AF_12/2017</v>
      </c>
      <c r="D44" s="81"/>
      <c r="E44" s="81"/>
      <c r="F44" s="82"/>
      <c r="G44" s="6" t="str">
        <f>VLOOKUP(B44,S!$A:$D,3,FALSE)</f>
        <v>UN</v>
      </c>
      <c r="H44" s="21"/>
      <c r="I44" s="21">
        <f>J47</f>
        <v>9.18</v>
      </c>
      <c r="J44" s="73"/>
      <c r="K44" s="69"/>
      <c r="L44" s="21">
        <f>VLOOKUP(B44,S!$A:$D,4,FALSE)</f>
        <v>9.18</v>
      </c>
      <c r="M44" s="6" t="str">
        <f>IF(ROUND((L44-I44),2)=0,"OK, confere com a tabela.",IF(ROUND((L44-I44),2)&lt;0,"ACIMA ("&amp;TEXT(ROUND(I44*100/L44,4),"0,0000")&amp;" %) da tabela.","ABAIXO ("&amp;TEXT(ROUND(I44*100/L44,4),"0,0000")&amp;" %) da tabela."))</f>
        <v>OK, confere com a tabela.</v>
      </c>
    </row>
    <row r="45" spans="1:14" ht="30" customHeight="1" x14ac:dyDescent="0.25">
      <c r="A45" s="16" t="s">
        <v>115</v>
      </c>
      <c r="B45" s="19">
        <v>88267</v>
      </c>
      <c r="C45" s="74" t="str">
        <f>VLOOKUP(B45,IF(A45="COMPOSICAO",S!$A:$D,I!$A:$D),2,FALSE)</f>
        <v>ENCANADOR OU BOMBEIRO HIDRÁULICO COM ENCARGOS COMPLEMENTARES</v>
      </c>
      <c r="D45" s="74"/>
      <c r="E45" s="74"/>
      <c r="F45" s="74"/>
      <c r="G45" s="16" t="str">
        <f>VLOOKUP(B45,IF(A45="COMPOSICAO",S!$A:$D,I!$A:$D),3,FALSE)</f>
        <v>H</v>
      </c>
      <c r="H45" s="22">
        <f>0.1755</f>
        <v>0.17549999999999999</v>
      </c>
      <c r="I45" s="17">
        <f>IF(A45="COMPOSICAO",VLOOKUP("TOTAL - "&amp;B45,COMPOSICAO_AUX_1!$A:$J,10,FALSE),VLOOKUP(B45,I!$A:$D,4,FALSE))</f>
        <v>20.23</v>
      </c>
      <c r="J45" s="77">
        <f>TRUNC(H45*I45,2)</f>
        <v>3.55</v>
      </c>
      <c r="K45" s="78"/>
      <c r="L45" s="3"/>
      <c r="M45" s="3"/>
      <c r="N45" s="3"/>
    </row>
    <row r="46" spans="1:14" ht="15" customHeight="1" x14ac:dyDescent="0.25">
      <c r="A46" s="16" t="s">
        <v>115</v>
      </c>
      <c r="B46" s="19">
        <v>88316</v>
      </c>
      <c r="C46" s="74" t="str">
        <f>VLOOKUP(B46,IF(A46="COMPOSICAO",S!$A:$D,I!$A:$D),2,FALSE)</f>
        <v>SERVENTE COM ENCARGOS COMPLEMENTARES</v>
      </c>
      <c r="D46" s="74"/>
      <c r="E46" s="74"/>
      <c r="F46" s="74"/>
      <c r="G46" s="16" t="str">
        <f>VLOOKUP(B46,IF(A46="COMPOSICAO",S!$A:$D,I!$A:$D),3,FALSE)</f>
        <v>H</v>
      </c>
      <c r="H46" s="22">
        <f>0.3448</f>
        <v>0.3448</v>
      </c>
      <c r="I46" s="17">
        <f>IF(A46="COMPOSICAO",VLOOKUP("TOTAL - "&amp;B46,COMPOSICAO_AUX_1!$A:$J,10,FALSE),VLOOKUP(B46,I!$A:$D,4,FALSE))</f>
        <v>16.329999999999998</v>
      </c>
      <c r="J46" s="77">
        <f>TRUNC(H46*I46,2)</f>
        <v>5.63</v>
      </c>
      <c r="K46" s="78"/>
      <c r="L46" s="3"/>
      <c r="M46" s="3"/>
      <c r="N46" s="3"/>
    </row>
    <row r="47" spans="1:14" ht="15" customHeight="1" x14ac:dyDescent="0.25">
      <c r="A47" s="23" t="s">
        <v>116</v>
      </c>
      <c r="B47" s="24"/>
      <c r="C47" s="24"/>
      <c r="D47" s="24"/>
      <c r="E47" s="24"/>
      <c r="F47" s="24"/>
      <c r="G47" s="25"/>
      <c r="H47" s="26"/>
      <c r="I47" s="27"/>
      <c r="J47" s="77">
        <f>SUM(J44:K46)</f>
        <v>9.18</v>
      </c>
      <c r="K47" s="78"/>
    </row>
    <row r="48" spans="1:14" ht="15" customHeight="1" x14ac:dyDescent="0.25">
      <c r="A48" s="23" t="str">
        <f>"TAXA DE BDI ("&amp;BDI&amp;" %)"</f>
        <v>TAXA DE BDI (20,34 %)</v>
      </c>
      <c r="B48" s="24"/>
      <c r="C48" s="24"/>
      <c r="D48" s="24"/>
      <c r="E48" s="24"/>
      <c r="F48" s="24"/>
      <c r="G48" s="25"/>
      <c r="H48" s="26"/>
      <c r="I48" s="27"/>
      <c r="J48" s="77">
        <f>ROUND(J47*(BDI/100),2)</f>
        <v>1.87</v>
      </c>
      <c r="K48" s="78"/>
    </row>
    <row r="49" spans="1:14" ht="15" customHeight="1" x14ac:dyDescent="0.25">
      <c r="A49" s="23" t="s">
        <v>125</v>
      </c>
      <c r="B49" s="24"/>
      <c r="C49" s="24"/>
      <c r="D49" s="24"/>
      <c r="E49" s="24"/>
      <c r="F49" s="24"/>
      <c r="G49" s="25"/>
      <c r="H49" s="26"/>
      <c r="I49" s="27"/>
      <c r="J49" s="77">
        <f>SUM(J47:K48)</f>
        <v>11.05</v>
      </c>
      <c r="K49" s="78"/>
    </row>
    <row r="50" spans="1:14" ht="15" customHeight="1" x14ac:dyDescent="0.25">
      <c r="A50" s="3"/>
      <c r="B50" s="3"/>
      <c r="C50" s="3"/>
      <c r="D50" s="3"/>
      <c r="E50" s="3"/>
      <c r="F50" s="3"/>
      <c r="G50" s="3"/>
      <c r="H50" s="3"/>
      <c r="I50" s="3"/>
      <c r="J50" s="3"/>
      <c r="K50" s="3"/>
    </row>
    <row r="51" spans="1:14" ht="15" customHeight="1" x14ac:dyDescent="0.25">
      <c r="A51" s="10" t="s">
        <v>110</v>
      </c>
      <c r="B51" s="10" t="s">
        <v>31</v>
      </c>
      <c r="C51" s="79" t="s">
        <v>8</v>
      </c>
      <c r="D51" s="80"/>
      <c r="E51" s="80"/>
      <c r="F51" s="80"/>
      <c r="G51" s="6" t="s">
        <v>32</v>
      </c>
      <c r="H51" s="6" t="s">
        <v>111</v>
      </c>
      <c r="I51" s="6" t="s">
        <v>112</v>
      </c>
      <c r="J51" s="51" t="s">
        <v>10</v>
      </c>
      <c r="K51" s="52"/>
    </row>
    <row r="52" spans="1:14" ht="45" customHeight="1" x14ac:dyDescent="0.25">
      <c r="A52" s="6" t="s">
        <v>124</v>
      </c>
      <c r="B52" s="20">
        <v>97640</v>
      </c>
      <c r="C52" s="81" t="str">
        <f>VLOOKUP(B52,S!$A:$D,2,FALSE)</f>
        <v>REMOÇÃO DE FORROS DE DRYWALL, PVC E FIBROMINERAL, DE FORMA MANUAL, SEM REAPROVEITAMENTO. AF_12/2017</v>
      </c>
      <c r="D52" s="81"/>
      <c r="E52" s="81"/>
      <c r="F52" s="82"/>
      <c r="G52" s="6" t="str">
        <f>VLOOKUP(B52,S!$A:$D,3,FALSE)</f>
        <v>M2</v>
      </c>
      <c r="H52" s="21"/>
      <c r="I52" s="21">
        <f>J55</f>
        <v>1.35</v>
      </c>
      <c r="J52" s="73"/>
      <c r="K52" s="69"/>
      <c r="L52" s="21">
        <f>VLOOKUP(B52,S!$A:$D,4,FALSE)</f>
        <v>1.35</v>
      </c>
      <c r="M52" s="6" t="str">
        <f>IF(ROUND((L52-I52),2)=0,"OK, confere com a tabela.",IF(ROUND((L52-I52),2)&lt;0,"ACIMA ("&amp;TEXT(ROUND(I52*100/L52,4),"0,0000")&amp;" %) da tabela.","ABAIXO ("&amp;TEXT(ROUND(I52*100/L52,4),"0,0000")&amp;" %) da tabela."))</f>
        <v>OK, confere com a tabela.</v>
      </c>
    </row>
    <row r="53" spans="1:14" ht="30" customHeight="1" x14ac:dyDescent="0.25">
      <c r="A53" s="16" t="s">
        <v>115</v>
      </c>
      <c r="B53" s="19">
        <v>88278</v>
      </c>
      <c r="C53" s="74" t="str">
        <f>VLOOKUP(B53,IF(A53="COMPOSICAO",S!$A:$D,I!$A:$D),2,FALSE)</f>
        <v>MONTADOR DE ESTRUTURA METÁLICA COM ENCARGOS COMPLEMENTARES</v>
      </c>
      <c r="D53" s="74"/>
      <c r="E53" s="74"/>
      <c r="F53" s="74"/>
      <c r="G53" s="16" t="str">
        <f>VLOOKUP(B53,IF(A53="COMPOSICAO",S!$A:$D,I!$A:$D),3,FALSE)</f>
        <v>H</v>
      </c>
      <c r="H53" s="22">
        <f>0.0258</f>
        <v>2.58E-2</v>
      </c>
      <c r="I53" s="17">
        <f>IF(A53="COMPOSICAO",VLOOKUP("TOTAL - "&amp;B53,COMPOSICAO_AUX_1!$A:$J,10,FALSE),VLOOKUP(B53,I!$A:$D,4,FALSE))</f>
        <v>20.560000000000002</v>
      </c>
      <c r="J53" s="77">
        <f>TRUNC(H53*I53,2)</f>
        <v>0.53</v>
      </c>
      <c r="K53" s="78"/>
      <c r="L53" s="3"/>
      <c r="M53" s="3"/>
      <c r="N53" s="3"/>
    </row>
    <row r="54" spans="1:14" ht="15" customHeight="1" x14ac:dyDescent="0.25">
      <c r="A54" s="16" t="s">
        <v>115</v>
      </c>
      <c r="B54" s="19">
        <v>88316</v>
      </c>
      <c r="C54" s="74" t="str">
        <f>VLOOKUP(B54,IF(A54="COMPOSICAO",S!$A:$D,I!$A:$D),2,FALSE)</f>
        <v>SERVENTE COM ENCARGOS COMPLEMENTARES</v>
      </c>
      <c r="D54" s="74"/>
      <c r="E54" s="74"/>
      <c r="F54" s="74"/>
      <c r="G54" s="16" t="str">
        <f>VLOOKUP(B54,IF(A54="COMPOSICAO",S!$A:$D,I!$A:$D),3,FALSE)</f>
        <v>H</v>
      </c>
      <c r="H54" s="22">
        <f>0.0507</f>
        <v>5.0700000000000002E-2</v>
      </c>
      <c r="I54" s="17">
        <f>IF(A54="COMPOSICAO",VLOOKUP("TOTAL - "&amp;B54,COMPOSICAO_AUX_1!$A:$J,10,FALSE),VLOOKUP(B54,I!$A:$D,4,FALSE))</f>
        <v>16.329999999999998</v>
      </c>
      <c r="J54" s="77">
        <f>TRUNC(H54*I54,2)</f>
        <v>0.82</v>
      </c>
      <c r="K54" s="78"/>
      <c r="L54" s="3"/>
      <c r="M54" s="3"/>
      <c r="N54" s="3"/>
    </row>
    <row r="55" spans="1:14" ht="15" customHeight="1" x14ac:dyDescent="0.25">
      <c r="A55" s="23" t="s">
        <v>116</v>
      </c>
      <c r="B55" s="24"/>
      <c r="C55" s="24"/>
      <c r="D55" s="24"/>
      <c r="E55" s="24"/>
      <c r="F55" s="24"/>
      <c r="G55" s="25"/>
      <c r="H55" s="26"/>
      <c r="I55" s="27"/>
      <c r="J55" s="77">
        <f>SUM(J52:K54)</f>
        <v>1.35</v>
      </c>
      <c r="K55" s="78"/>
    </row>
    <row r="56" spans="1:14" ht="15" customHeight="1" x14ac:dyDescent="0.25">
      <c r="A56" s="23" t="str">
        <f>"TAXA DE BDI ("&amp;BDI&amp;" %)"</f>
        <v>TAXA DE BDI (20,34 %)</v>
      </c>
      <c r="B56" s="24"/>
      <c r="C56" s="24"/>
      <c r="D56" s="24"/>
      <c r="E56" s="24"/>
      <c r="F56" s="24"/>
      <c r="G56" s="25"/>
      <c r="H56" s="26"/>
      <c r="I56" s="27"/>
      <c r="J56" s="77">
        <f>ROUND(J55*(BDI/100),2)</f>
        <v>0.27</v>
      </c>
      <c r="K56" s="78"/>
    </row>
    <row r="57" spans="1:14" ht="15" customHeight="1" x14ac:dyDescent="0.25">
      <c r="A57" s="23" t="s">
        <v>126</v>
      </c>
      <c r="B57" s="24"/>
      <c r="C57" s="24"/>
      <c r="D57" s="24"/>
      <c r="E57" s="24"/>
      <c r="F57" s="24"/>
      <c r="G57" s="25"/>
      <c r="H57" s="26"/>
      <c r="I57" s="27"/>
      <c r="J57" s="77">
        <f>SUM(J55:K56)</f>
        <v>1.62</v>
      </c>
      <c r="K57" s="78"/>
    </row>
    <row r="58" spans="1:14" ht="15" customHeight="1" x14ac:dyDescent="0.25">
      <c r="A58" s="3"/>
      <c r="B58" s="3"/>
      <c r="C58" s="3"/>
      <c r="D58" s="3"/>
      <c r="E58" s="3"/>
      <c r="F58" s="3"/>
      <c r="G58" s="3"/>
      <c r="H58" s="3"/>
      <c r="I58" s="3"/>
      <c r="J58" s="3"/>
      <c r="K58" s="3"/>
    </row>
    <row r="59" spans="1:14" ht="15" customHeight="1" x14ac:dyDescent="0.25">
      <c r="A59" s="10" t="s">
        <v>110</v>
      </c>
      <c r="B59" s="10" t="s">
        <v>31</v>
      </c>
      <c r="C59" s="79" t="s">
        <v>8</v>
      </c>
      <c r="D59" s="80"/>
      <c r="E59" s="80"/>
      <c r="F59" s="80"/>
      <c r="G59" s="6" t="s">
        <v>32</v>
      </c>
      <c r="H59" s="6" t="s">
        <v>111</v>
      </c>
      <c r="I59" s="6" t="s">
        <v>112</v>
      </c>
      <c r="J59" s="51" t="s">
        <v>10</v>
      </c>
      <c r="K59" s="52"/>
    </row>
    <row r="60" spans="1:14" ht="30" customHeight="1" x14ac:dyDescent="0.25">
      <c r="A60" s="6" t="s">
        <v>127</v>
      </c>
      <c r="B60" s="6" t="s">
        <v>128</v>
      </c>
      <c r="C60" s="81" t="s">
        <v>129</v>
      </c>
      <c r="D60" s="81"/>
      <c r="E60" s="81"/>
      <c r="F60" s="82"/>
      <c r="G60" s="6" t="s">
        <v>121</v>
      </c>
      <c r="H60" s="21"/>
      <c r="I60" s="21">
        <f>J62</f>
        <v>6.53</v>
      </c>
      <c r="J60" s="73"/>
      <c r="K60" s="69"/>
      <c r="L60" s="21">
        <v>0</v>
      </c>
      <c r="M60" s="6" t="s">
        <v>122</v>
      </c>
    </row>
    <row r="61" spans="1:14" ht="15" customHeight="1" x14ac:dyDescent="0.25">
      <c r="A61" s="16" t="s">
        <v>115</v>
      </c>
      <c r="B61" s="19">
        <v>88316</v>
      </c>
      <c r="C61" s="74" t="str">
        <f>VLOOKUP(B61,IF(A61="COMPOSICAO",S!$A:$D,I!$A:$D),2,FALSE)</f>
        <v>SERVENTE COM ENCARGOS COMPLEMENTARES</v>
      </c>
      <c r="D61" s="74"/>
      <c r="E61" s="74"/>
      <c r="F61" s="74"/>
      <c r="G61" s="16" t="str">
        <f>VLOOKUP(B61,IF(A61="COMPOSICAO",S!$A:$D,I!$A:$D),3,FALSE)</f>
        <v>H</v>
      </c>
      <c r="H61" s="22">
        <f>0.4</f>
        <v>0.4</v>
      </c>
      <c r="I61" s="17">
        <f>IF(A61="COMPOSICAO",VLOOKUP("TOTAL - "&amp;B61,COMPOSICAO_AUX_1!$A:$J,10,FALSE),VLOOKUP(B61,I!$A:$D,4,FALSE))</f>
        <v>16.329999999999998</v>
      </c>
      <c r="J61" s="77">
        <f>TRUNC(H61*I61,2)</f>
        <v>6.53</v>
      </c>
      <c r="K61" s="78"/>
      <c r="L61" s="3"/>
      <c r="M61" s="3"/>
      <c r="N61" s="3"/>
    </row>
    <row r="62" spans="1:14" ht="15" customHeight="1" x14ac:dyDescent="0.25">
      <c r="A62" s="23" t="s">
        <v>116</v>
      </c>
      <c r="B62" s="24"/>
      <c r="C62" s="24"/>
      <c r="D62" s="24"/>
      <c r="E62" s="24"/>
      <c r="F62" s="24"/>
      <c r="G62" s="25"/>
      <c r="H62" s="26"/>
      <c r="I62" s="27"/>
      <c r="J62" s="77">
        <f>SUM(J60:K61)</f>
        <v>6.53</v>
      </c>
      <c r="K62" s="78"/>
    </row>
    <row r="63" spans="1:14" ht="15" customHeight="1" x14ac:dyDescent="0.25">
      <c r="A63" s="23" t="str">
        <f>"TAXA DE BDI ("&amp;BDI&amp;" %)"</f>
        <v>TAXA DE BDI (20,34 %)</v>
      </c>
      <c r="B63" s="24"/>
      <c r="C63" s="24"/>
      <c r="D63" s="24"/>
      <c r="E63" s="24"/>
      <c r="F63" s="24"/>
      <c r="G63" s="25"/>
      <c r="H63" s="26"/>
      <c r="I63" s="27"/>
      <c r="J63" s="77">
        <f>ROUND(J62*(BDI/100),2)</f>
        <v>1.33</v>
      </c>
      <c r="K63" s="78"/>
    </row>
    <row r="64" spans="1:14" ht="15" customHeight="1" x14ac:dyDescent="0.25">
      <c r="A64" s="23" t="s">
        <v>130</v>
      </c>
      <c r="B64" s="24"/>
      <c r="C64" s="24"/>
      <c r="D64" s="24"/>
      <c r="E64" s="24"/>
      <c r="F64" s="24"/>
      <c r="G64" s="25"/>
      <c r="H64" s="26"/>
      <c r="I64" s="27"/>
      <c r="J64" s="77">
        <f>SUM(J62:K63)</f>
        <v>7.86</v>
      </c>
      <c r="K64" s="78"/>
    </row>
    <row r="65" spans="1:14" ht="15" customHeight="1" x14ac:dyDescent="0.25">
      <c r="A65" s="3"/>
      <c r="B65" s="3"/>
      <c r="C65" s="3"/>
      <c r="D65" s="3"/>
      <c r="E65" s="3"/>
      <c r="F65" s="3"/>
      <c r="G65" s="3"/>
      <c r="H65" s="3"/>
      <c r="I65" s="3"/>
      <c r="J65" s="3"/>
      <c r="K65" s="3"/>
    </row>
    <row r="66" spans="1:14" ht="15" customHeight="1" x14ac:dyDescent="0.25">
      <c r="A66" s="10" t="s">
        <v>110</v>
      </c>
      <c r="B66" s="10" t="s">
        <v>31</v>
      </c>
      <c r="C66" s="79" t="s">
        <v>8</v>
      </c>
      <c r="D66" s="80"/>
      <c r="E66" s="80"/>
      <c r="F66" s="80"/>
      <c r="G66" s="6" t="s">
        <v>32</v>
      </c>
      <c r="H66" s="6" t="s">
        <v>111</v>
      </c>
      <c r="I66" s="6" t="s">
        <v>112</v>
      </c>
      <c r="J66" s="51" t="s">
        <v>10</v>
      </c>
      <c r="K66" s="52"/>
    </row>
    <row r="67" spans="1:14" ht="45" customHeight="1" x14ac:dyDescent="0.25">
      <c r="A67" s="6" t="s">
        <v>131</v>
      </c>
      <c r="B67" s="20">
        <v>94213</v>
      </c>
      <c r="C67" s="81" t="str">
        <f>VLOOKUP(B67,S!$A:$D,2,FALSE)</f>
        <v>TELHAMENTO COM TELHA DE AÇO/ALUMÍNIO E = 0,5 MM, COM ATÉ 2 ÁGUAS, INCLUSO IÇAMENTO. AF_07/2019</v>
      </c>
      <c r="D67" s="81"/>
      <c r="E67" s="81"/>
      <c r="F67" s="82"/>
      <c r="G67" s="6" t="str">
        <f>VLOOKUP(B67,S!$A:$D,3,FALSE)</f>
        <v>M2</v>
      </c>
      <c r="H67" s="21"/>
      <c r="I67" s="21">
        <f>J74</f>
        <v>84.259999999999991</v>
      </c>
      <c r="J67" s="73"/>
      <c r="K67" s="69"/>
      <c r="L67" s="21">
        <f>VLOOKUP(B67,S!$A:$D,4,FALSE)</f>
        <v>84.26</v>
      </c>
      <c r="M67" s="6" t="str">
        <f>IF(ROUND((L67-I67),2)=0,"OK, confere com a tabela.",IF(ROUND((L67-I67),2)&lt;0,"ACIMA ("&amp;TEXT(ROUND(I67*100/L67,4),"0,0000")&amp;" %) da tabela.","ABAIXO ("&amp;TEXT(ROUND(I67*100/L67,4),"0,0000")&amp;" %) da tabela."))</f>
        <v>OK, confere com a tabela.</v>
      </c>
    </row>
    <row r="68" spans="1:14" ht="45" customHeight="1" x14ac:dyDescent="0.25">
      <c r="A68" s="16" t="s">
        <v>114</v>
      </c>
      <c r="B68" s="19">
        <v>7243</v>
      </c>
      <c r="C68" s="74" t="str">
        <f>VLOOKUP(B68,IF(A68="COMPOSICAO",S!$A:$D,I!$A:$D),2,FALSE)</f>
        <v>TELHA TRAPEZOIDAL EM ACO ZINCADO, SEM PINTURA, ALTURA DE APROXIMADAMENTE 40 MM, ESPESSURA DE 0,50 MM E LARGURA UTIL DE 980 MM</v>
      </c>
      <c r="D68" s="74"/>
      <c r="E68" s="74"/>
      <c r="F68" s="74"/>
      <c r="G68" s="16" t="str">
        <f>VLOOKUP(B68,IF(A68="COMPOSICAO",S!$A:$D,I!$A:$D),3,FALSE)</f>
        <v>M2</v>
      </c>
      <c r="H68" s="22">
        <f>1.166</f>
        <v>1.1659999999999999</v>
      </c>
      <c r="I68" s="17">
        <f>IF(A68="COMPOSICAO",VLOOKUP("TOTAL - "&amp;B68,COMPOSICAO_AUX_1!$A:$J,10,FALSE),VLOOKUP(B68,I!$A:$D,4,FALSE))</f>
        <v>60.61</v>
      </c>
      <c r="J68" s="77">
        <f t="shared" ref="J68:J73" si="3">TRUNC(H68*I68,2)</f>
        <v>70.67</v>
      </c>
      <c r="K68" s="78"/>
      <c r="L68" s="3"/>
      <c r="M68" s="3"/>
      <c r="N68" s="3"/>
    </row>
    <row r="69" spans="1:14" ht="45" customHeight="1" x14ac:dyDescent="0.25">
      <c r="A69" s="16" t="s">
        <v>114</v>
      </c>
      <c r="B69" s="19">
        <v>11029</v>
      </c>
      <c r="C69" s="74" t="str">
        <f>VLOOKUP(B69,IF(A69="COMPOSICAO",S!$A:$D,I!$A:$D),2,FALSE)</f>
        <v>HASTE RETA PARA GANCHO DE FERRO GALVANIZADO, COM ROSCA 1/4 " X 30 CM PARA FIXACAO DE TELHA METALICA, INCLUI PORCA E ARRUELAS DE VEDACAO</v>
      </c>
      <c r="D69" s="74"/>
      <c r="E69" s="74"/>
      <c r="F69" s="74"/>
      <c r="G69" s="16" t="str">
        <f>VLOOKUP(B69,IF(A69="COMPOSICAO",S!$A:$D,I!$A:$D),3,FALSE)</f>
        <v>CJ</v>
      </c>
      <c r="H69" s="22">
        <f>4.15</f>
        <v>4.1500000000000004</v>
      </c>
      <c r="I69" s="17">
        <f>IF(A69="COMPOSICAO",VLOOKUP("TOTAL - "&amp;B69,COMPOSICAO_AUX_1!$A:$J,10,FALSE),VLOOKUP(B69,I!$A:$D,4,FALSE))</f>
        <v>2.37</v>
      </c>
      <c r="J69" s="77">
        <f t="shared" si="3"/>
        <v>9.83</v>
      </c>
      <c r="K69" s="78"/>
      <c r="L69" s="3"/>
      <c r="M69" s="3"/>
      <c r="N69" s="3"/>
    </row>
    <row r="70" spans="1:14" ht="15" customHeight="1" x14ac:dyDescent="0.25">
      <c r="A70" s="16" t="s">
        <v>115</v>
      </c>
      <c r="B70" s="19">
        <v>88316</v>
      </c>
      <c r="C70" s="74" t="str">
        <f>VLOOKUP(B70,IF(A70="COMPOSICAO",S!$A:$D,I!$A:$D),2,FALSE)</f>
        <v>SERVENTE COM ENCARGOS COMPLEMENTARES</v>
      </c>
      <c r="D70" s="74"/>
      <c r="E70" s="74"/>
      <c r="F70" s="74"/>
      <c r="G70" s="16" t="str">
        <f>VLOOKUP(B70,IF(A70="COMPOSICAO",S!$A:$D,I!$A:$D),3,FALSE)</f>
        <v>H</v>
      </c>
      <c r="H70" s="22">
        <f>0.097</f>
        <v>9.7000000000000003E-2</v>
      </c>
      <c r="I70" s="17">
        <f>IF(A70="COMPOSICAO",VLOOKUP("TOTAL - "&amp;B70,COMPOSICAO_AUX_1!$A:$J,10,FALSE),VLOOKUP(B70,I!$A:$D,4,FALSE))</f>
        <v>16.329999999999998</v>
      </c>
      <c r="J70" s="77">
        <f t="shared" si="3"/>
        <v>1.58</v>
      </c>
      <c r="K70" s="78"/>
      <c r="L70" s="3"/>
      <c r="M70" s="3"/>
      <c r="N70" s="3"/>
    </row>
    <row r="71" spans="1:14" ht="15" customHeight="1" x14ac:dyDescent="0.25">
      <c r="A71" s="16" t="s">
        <v>115</v>
      </c>
      <c r="B71" s="19">
        <v>88323</v>
      </c>
      <c r="C71" s="74" t="str">
        <f>VLOOKUP(B71,IF(A71="COMPOSICAO",S!$A:$D,I!$A:$D),2,FALSE)</f>
        <v>TELHADISTA COM ENCARGOS COMPLEMENTARES</v>
      </c>
      <c r="D71" s="74"/>
      <c r="E71" s="74"/>
      <c r="F71" s="74"/>
      <c r="G71" s="16" t="str">
        <f>VLOOKUP(B71,IF(A71="COMPOSICAO",S!$A:$D,I!$A:$D),3,FALSE)</f>
        <v>H</v>
      </c>
      <c r="H71" s="22">
        <f>0.091</f>
        <v>9.0999999999999998E-2</v>
      </c>
      <c r="I71" s="17">
        <f>IF(A71="COMPOSICAO",VLOOKUP("TOTAL - "&amp;B71,COMPOSICAO_AUX_1!$A:$J,10,FALSE),VLOOKUP(B71,I!$A:$D,4,FALSE))</f>
        <v>23.509999999999998</v>
      </c>
      <c r="J71" s="77">
        <f t="shared" si="3"/>
        <v>2.13</v>
      </c>
      <c r="K71" s="78"/>
      <c r="L71" s="3"/>
      <c r="M71" s="3"/>
      <c r="N71" s="3"/>
    </row>
    <row r="72" spans="1:14" ht="45" customHeight="1" x14ac:dyDescent="0.25">
      <c r="A72" s="16" t="s">
        <v>115</v>
      </c>
      <c r="B72" s="19">
        <v>93281</v>
      </c>
      <c r="C72" s="74" t="str">
        <f>VLOOKUP(B72,IF(A72="COMPOSICAO",S!$A:$D,I!$A:$D),2,FALSE)</f>
        <v>GUINCHO ELÉTRICO DE COLUNA, CAPACIDADE 400 KG, COM MOTO FREIO, MOTOR TRIFÁSICO DE 1,25 CV - CHP DIURNO. AF_03/2016</v>
      </c>
      <c r="D72" s="74"/>
      <c r="E72" s="74"/>
      <c r="F72" s="74"/>
      <c r="G72" s="16" t="str">
        <f>VLOOKUP(B72,IF(A72="COMPOSICAO",S!$A:$D,I!$A:$D),3,FALSE)</f>
        <v>CHP</v>
      </c>
      <c r="H72" s="22">
        <f>0.0009</f>
        <v>8.9999999999999998E-4</v>
      </c>
      <c r="I72" s="17">
        <f>IF(A72="COMPOSICAO",VLOOKUP("TOTAL - "&amp;B72,COMPOSICAO_AUX_1!$A:$J,10,FALSE),VLOOKUP(B72,I!$A:$D,4,FALSE))</f>
        <v>24.17</v>
      </c>
      <c r="J72" s="77">
        <f t="shared" si="3"/>
        <v>0.02</v>
      </c>
      <c r="K72" s="78"/>
      <c r="L72" s="3"/>
      <c r="M72" s="3"/>
      <c r="N72" s="3"/>
    </row>
    <row r="73" spans="1:14" ht="45" customHeight="1" x14ac:dyDescent="0.25">
      <c r="A73" s="16" t="s">
        <v>115</v>
      </c>
      <c r="B73" s="19">
        <v>93282</v>
      </c>
      <c r="C73" s="74" t="str">
        <f>VLOOKUP(B73,IF(A73="COMPOSICAO",S!$A:$D,I!$A:$D),2,FALSE)</f>
        <v>GUINCHO ELÉTRICO DE COLUNA, CAPACIDADE 400 KG, COM MOTO FREIO, MOTOR TRIFÁSICO DE 1,25 CV - CHI DIURNO. AF_03/2016</v>
      </c>
      <c r="D73" s="74"/>
      <c r="E73" s="74"/>
      <c r="F73" s="74"/>
      <c r="G73" s="16" t="str">
        <f>VLOOKUP(B73,IF(A73="COMPOSICAO",S!$A:$D,I!$A:$D),3,FALSE)</f>
        <v>CHI</v>
      </c>
      <c r="H73" s="22">
        <f>0.0013</f>
        <v>1.2999999999999999E-3</v>
      </c>
      <c r="I73" s="17">
        <f>IF(A73="COMPOSICAO",VLOOKUP("TOTAL - "&amp;B73,COMPOSICAO_AUX_1!$A:$J,10,FALSE),VLOOKUP(B73,I!$A:$D,4,FALSE))</f>
        <v>23.09</v>
      </c>
      <c r="J73" s="77">
        <f t="shared" si="3"/>
        <v>0.03</v>
      </c>
      <c r="K73" s="78"/>
      <c r="L73" s="3"/>
      <c r="M73" s="3"/>
      <c r="N73" s="3"/>
    </row>
    <row r="74" spans="1:14" ht="15" customHeight="1" x14ac:dyDescent="0.25">
      <c r="A74" s="23" t="s">
        <v>116</v>
      </c>
      <c r="B74" s="24"/>
      <c r="C74" s="24"/>
      <c r="D74" s="24"/>
      <c r="E74" s="24"/>
      <c r="F74" s="24"/>
      <c r="G74" s="25"/>
      <c r="H74" s="26"/>
      <c r="I74" s="27"/>
      <c r="J74" s="77">
        <f>SUM(J67:K73)</f>
        <v>84.259999999999991</v>
      </c>
      <c r="K74" s="78"/>
    </row>
    <row r="75" spans="1:14" ht="15" customHeight="1" x14ac:dyDescent="0.25">
      <c r="A75" s="23" t="str">
        <f>"TAXA DE BDI ("&amp;BDI&amp;" %)"</f>
        <v>TAXA DE BDI (20,34 %)</v>
      </c>
      <c r="B75" s="24"/>
      <c r="C75" s="24"/>
      <c r="D75" s="24"/>
      <c r="E75" s="24"/>
      <c r="F75" s="24"/>
      <c r="G75" s="25"/>
      <c r="H75" s="26"/>
      <c r="I75" s="27"/>
      <c r="J75" s="77">
        <f>ROUND(J74*(BDI/100),2)</f>
        <v>17.14</v>
      </c>
      <c r="K75" s="78"/>
    </row>
    <row r="76" spans="1:14" ht="15" customHeight="1" x14ac:dyDescent="0.25">
      <c r="A76" s="23" t="s">
        <v>132</v>
      </c>
      <c r="B76" s="24"/>
      <c r="C76" s="24"/>
      <c r="D76" s="24"/>
      <c r="E76" s="24"/>
      <c r="F76" s="24"/>
      <c r="G76" s="25"/>
      <c r="H76" s="26"/>
      <c r="I76" s="27"/>
      <c r="J76" s="77">
        <f>SUM(J74:K75)</f>
        <v>101.39999999999999</v>
      </c>
      <c r="K76" s="78"/>
    </row>
    <row r="77" spans="1:14" ht="15" customHeight="1" x14ac:dyDescent="0.25">
      <c r="A77" s="3"/>
      <c r="B77" s="3"/>
      <c r="C77" s="3"/>
      <c r="D77" s="3"/>
      <c r="E77" s="3"/>
      <c r="F77" s="3"/>
      <c r="G77" s="3"/>
      <c r="H77" s="3"/>
      <c r="I77" s="3"/>
      <c r="J77" s="3"/>
      <c r="K77" s="3"/>
    </row>
    <row r="78" spans="1:14" ht="15" customHeight="1" x14ac:dyDescent="0.25">
      <c r="A78" s="10" t="s">
        <v>110</v>
      </c>
      <c r="B78" s="10" t="s">
        <v>31</v>
      </c>
      <c r="C78" s="79" t="s">
        <v>8</v>
      </c>
      <c r="D78" s="80"/>
      <c r="E78" s="80"/>
      <c r="F78" s="80"/>
      <c r="G78" s="6" t="s">
        <v>32</v>
      </c>
      <c r="H78" s="6" t="s">
        <v>111</v>
      </c>
      <c r="I78" s="6" t="s">
        <v>112</v>
      </c>
      <c r="J78" s="51" t="s">
        <v>10</v>
      </c>
      <c r="K78" s="52"/>
    </row>
    <row r="79" spans="1:14" ht="45" customHeight="1" x14ac:dyDescent="0.25">
      <c r="A79" s="6" t="s">
        <v>133</v>
      </c>
      <c r="B79" s="20">
        <v>88489</v>
      </c>
      <c r="C79" s="81" t="str">
        <f>VLOOKUP(B79,S!$A:$D,2,FALSE)</f>
        <v>APLICAÇÃO MANUAL DE PINTURA COM TINTA LÁTEX ACRÍLICA EM PAREDES, DUAS DEMÃOS. AF_06/2014</v>
      </c>
      <c r="D79" s="81"/>
      <c r="E79" s="81"/>
      <c r="F79" s="82"/>
      <c r="G79" s="6" t="str">
        <f>VLOOKUP(B79,S!$A:$D,3,FALSE)</f>
        <v>M2</v>
      </c>
      <c r="H79" s="21"/>
      <c r="I79" s="21">
        <f>J83</f>
        <v>12.46</v>
      </c>
      <c r="J79" s="73"/>
      <c r="K79" s="69"/>
      <c r="L79" s="21">
        <f>VLOOKUP(B79,S!$A:$D,4,FALSE)</f>
        <v>12.46</v>
      </c>
      <c r="M79" s="6" t="str">
        <f>IF(ROUND((L79-I79),2)=0,"OK, confere com a tabela.",IF(ROUND((L79-I79),2)&lt;0,"ACIMA ("&amp;TEXT(ROUND(I79*100/L79,4),"0,0000")&amp;" %) da tabela.","ABAIXO ("&amp;TEXT(ROUND(I79*100/L79,4),"0,0000")&amp;" %) da tabela."))</f>
        <v>OK, confere com a tabela.</v>
      </c>
    </row>
    <row r="80" spans="1:14" ht="30" customHeight="1" x14ac:dyDescent="0.25">
      <c r="A80" s="16" t="s">
        <v>114</v>
      </c>
      <c r="B80" s="19">
        <v>7356</v>
      </c>
      <c r="C80" s="74" t="str">
        <f>VLOOKUP(B80,IF(A80="COMPOSICAO",S!$A:$D,I!$A:$D),2,FALSE)</f>
        <v>TINTA LATEX ACRILICA PREMIUM, COR BRANCO FOSCO</v>
      </c>
      <c r="D80" s="74"/>
      <c r="E80" s="74"/>
      <c r="F80" s="74"/>
      <c r="G80" s="16" t="str">
        <f>VLOOKUP(B80,IF(A80="COMPOSICAO",S!$A:$D,I!$A:$D),3,FALSE)</f>
        <v>L</v>
      </c>
      <c r="H80" s="22">
        <f>0.33</f>
        <v>0.33</v>
      </c>
      <c r="I80" s="17">
        <f>IF(A80="COMPOSICAO",VLOOKUP("TOTAL - "&amp;B80,COMPOSICAO_AUX_1!$A:$J,10,FALSE),VLOOKUP(B80,I!$A:$D,4,FALSE))</f>
        <v>21.99</v>
      </c>
      <c r="J80" s="77">
        <f>TRUNC(H80*I80,2)</f>
        <v>7.25</v>
      </c>
      <c r="K80" s="78"/>
      <c r="L80" s="3"/>
      <c r="M80" s="3"/>
      <c r="N80" s="3"/>
    </row>
    <row r="81" spans="1:14" ht="15" customHeight="1" x14ac:dyDescent="0.25">
      <c r="A81" s="16" t="s">
        <v>115</v>
      </c>
      <c r="B81" s="19">
        <v>88310</v>
      </c>
      <c r="C81" s="74" t="str">
        <f>VLOOKUP(B81,IF(A81="COMPOSICAO",S!$A:$D,I!$A:$D),2,FALSE)</f>
        <v>PINTOR COM ENCARGOS COMPLEMENTARES</v>
      </c>
      <c r="D81" s="74"/>
      <c r="E81" s="74"/>
      <c r="F81" s="74"/>
      <c r="G81" s="16" t="str">
        <f>VLOOKUP(B81,IF(A81="COMPOSICAO",S!$A:$D,I!$A:$D),3,FALSE)</f>
        <v>H</v>
      </c>
      <c r="H81" s="22">
        <f>0.187</f>
        <v>0.187</v>
      </c>
      <c r="I81" s="17">
        <f>IF(A81="COMPOSICAO",VLOOKUP("TOTAL - "&amp;B81,COMPOSICAO_AUX_1!$A:$J,10,FALSE),VLOOKUP(B81,I!$A:$D,4,FALSE))</f>
        <v>21.91</v>
      </c>
      <c r="J81" s="77">
        <f>TRUNC(H81*I81,2)</f>
        <v>4.09</v>
      </c>
      <c r="K81" s="78"/>
      <c r="L81" s="3"/>
      <c r="M81" s="3"/>
      <c r="N81" s="3"/>
    </row>
    <row r="82" spans="1:14" ht="15" customHeight="1" x14ac:dyDescent="0.25">
      <c r="A82" s="16" t="s">
        <v>115</v>
      </c>
      <c r="B82" s="19">
        <v>88316</v>
      </c>
      <c r="C82" s="74" t="str">
        <f>VLOOKUP(B82,IF(A82="COMPOSICAO",S!$A:$D,I!$A:$D),2,FALSE)</f>
        <v>SERVENTE COM ENCARGOS COMPLEMENTARES</v>
      </c>
      <c r="D82" s="74"/>
      <c r="E82" s="74"/>
      <c r="F82" s="74"/>
      <c r="G82" s="16" t="str">
        <f>VLOOKUP(B82,IF(A82="COMPOSICAO",S!$A:$D,I!$A:$D),3,FALSE)</f>
        <v>H</v>
      </c>
      <c r="H82" s="22">
        <f>0.069</f>
        <v>6.9000000000000006E-2</v>
      </c>
      <c r="I82" s="17">
        <f>IF(A82="COMPOSICAO",VLOOKUP("TOTAL - "&amp;B82,COMPOSICAO_AUX_1!$A:$J,10,FALSE),VLOOKUP(B82,I!$A:$D,4,FALSE))</f>
        <v>16.329999999999998</v>
      </c>
      <c r="J82" s="77">
        <f>TRUNC(H82*I82,2)</f>
        <v>1.1200000000000001</v>
      </c>
      <c r="K82" s="78"/>
      <c r="L82" s="3"/>
      <c r="M82" s="3"/>
      <c r="N82" s="3"/>
    </row>
    <row r="83" spans="1:14" ht="15" customHeight="1" x14ac:dyDescent="0.25">
      <c r="A83" s="23" t="s">
        <v>116</v>
      </c>
      <c r="B83" s="24"/>
      <c r="C83" s="24"/>
      <c r="D83" s="24"/>
      <c r="E83" s="24"/>
      <c r="F83" s="24"/>
      <c r="G83" s="25"/>
      <c r="H83" s="26"/>
      <c r="I83" s="27"/>
      <c r="J83" s="77">
        <f>SUM(J79:K82)</f>
        <v>12.46</v>
      </c>
      <c r="K83" s="78"/>
    </row>
    <row r="84" spans="1:14" ht="15" customHeight="1" x14ac:dyDescent="0.25">
      <c r="A84" s="23" t="str">
        <f>"TAXA DE BDI ("&amp;BDI&amp;" %)"</f>
        <v>TAXA DE BDI (20,34 %)</v>
      </c>
      <c r="B84" s="24"/>
      <c r="C84" s="24"/>
      <c r="D84" s="24"/>
      <c r="E84" s="24"/>
      <c r="F84" s="24"/>
      <c r="G84" s="25"/>
      <c r="H84" s="26"/>
      <c r="I84" s="27"/>
      <c r="J84" s="77">
        <f>ROUND(J83*(BDI/100),2)</f>
        <v>2.5299999999999998</v>
      </c>
      <c r="K84" s="78"/>
    </row>
    <row r="85" spans="1:14" ht="15" customHeight="1" x14ac:dyDescent="0.25">
      <c r="A85" s="23" t="s">
        <v>134</v>
      </c>
      <c r="B85" s="24"/>
      <c r="C85" s="24"/>
      <c r="D85" s="24"/>
      <c r="E85" s="24"/>
      <c r="F85" s="24"/>
      <c r="G85" s="25"/>
      <c r="H85" s="26"/>
      <c r="I85" s="27"/>
      <c r="J85" s="77">
        <f>SUM(J83:K84)</f>
        <v>14.99</v>
      </c>
      <c r="K85" s="78"/>
    </row>
    <row r="86" spans="1:14" ht="15" customHeight="1" x14ac:dyDescent="0.25">
      <c r="A86" s="3"/>
      <c r="B86" s="3"/>
      <c r="C86" s="3"/>
      <c r="D86" s="3"/>
      <c r="E86" s="3"/>
      <c r="F86" s="3"/>
      <c r="G86" s="3"/>
      <c r="H86" s="3"/>
      <c r="I86" s="3"/>
      <c r="J86" s="3"/>
      <c r="K86" s="3"/>
    </row>
    <row r="87" spans="1:14" ht="15" customHeight="1" x14ac:dyDescent="0.25">
      <c r="A87" s="10" t="s">
        <v>110</v>
      </c>
      <c r="B87" s="10" t="s">
        <v>31</v>
      </c>
      <c r="C87" s="79" t="s">
        <v>8</v>
      </c>
      <c r="D87" s="80"/>
      <c r="E87" s="80"/>
      <c r="F87" s="80"/>
      <c r="G87" s="6" t="s">
        <v>32</v>
      </c>
      <c r="H87" s="6" t="s">
        <v>111</v>
      </c>
      <c r="I87" s="6" t="s">
        <v>112</v>
      </c>
      <c r="J87" s="51" t="s">
        <v>10</v>
      </c>
      <c r="K87" s="52"/>
    </row>
    <row r="88" spans="1:14" ht="60" customHeight="1" x14ac:dyDescent="0.25">
      <c r="A88" s="6" t="s">
        <v>135</v>
      </c>
      <c r="B88" s="6" t="s">
        <v>98</v>
      </c>
      <c r="C88" s="81" t="s">
        <v>136</v>
      </c>
      <c r="D88" s="81"/>
      <c r="E88" s="81"/>
      <c r="F88" s="82"/>
      <c r="G88" s="6" t="s">
        <v>137</v>
      </c>
      <c r="H88" s="21"/>
      <c r="I88" s="21">
        <f>J92</f>
        <v>165.08</v>
      </c>
      <c r="J88" s="73"/>
      <c r="K88" s="69"/>
      <c r="L88" s="21">
        <v>0</v>
      </c>
      <c r="M88" s="6" t="s">
        <v>122</v>
      </c>
    </row>
    <row r="89" spans="1:14" ht="45" customHeight="1" x14ac:dyDescent="0.25">
      <c r="A89" s="16" t="s">
        <v>114</v>
      </c>
      <c r="B89" s="19">
        <v>3811</v>
      </c>
      <c r="C89" s="74" t="str">
        <f>VLOOKUP(B89,IF(A89="COMPOSICAO",S!$A:$D,I!$A:$D),2,FALSE)</f>
        <v>LUMINARIA DE SOBREPOR EM CHAPA DE ACO PARA 2 LAMPADAS FLUORESCENTES DE *18* W, ALETADA, COMPLETA (LAMPADAS E REATOR INCLUSOS)</v>
      </c>
      <c r="D89" s="74"/>
      <c r="E89" s="74"/>
      <c r="F89" s="74"/>
      <c r="G89" s="16" t="str">
        <f>VLOOKUP(B89,IF(A89="COMPOSICAO",S!$A:$D,I!$A:$D),3,FALSE)</f>
        <v>UN</v>
      </c>
      <c r="H89" s="22">
        <f>2</f>
        <v>2</v>
      </c>
      <c r="I89" s="17">
        <f>IF(A89="COMPOSICAO",VLOOKUP("TOTAL - "&amp;B89,COMPOSICAO_AUX_1!$A:$J,10,FALSE),VLOOKUP(B89,I!$A:$D,4,FALSE))</f>
        <v>60.11</v>
      </c>
      <c r="J89" s="77">
        <f>TRUNC(H89*I89,2)</f>
        <v>120.22</v>
      </c>
      <c r="K89" s="78"/>
      <c r="L89" s="3"/>
      <c r="M89" s="3"/>
      <c r="N89" s="3"/>
    </row>
    <row r="90" spans="1:14" ht="15" customHeight="1" x14ac:dyDescent="0.25">
      <c r="A90" s="16" t="s">
        <v>115</v>
      </c>
      <c r="B90" s="19">
        <v>88264</v>
      </c>
      <c r="C90" s="74" t="str">
        <f>VLOOKUP(B90,IF(A90="COMPOSICAO",S!$A:$D,I!$A:$D),2,FALSE)</f>
        <v>ELETRICISTA COM ENCARGOS COMPLEMENTARES</v>
      </c>
      <c r="D90" s="74"/>
      <c r="E90" s="74"/>
      <c r="F90" s="74"/>
      <c r="G90" s="16" t="str">
        <f>VLOOKUP(B90,IF(A90="COMPOSICAO",S!$A:$D,I!$A:$D),3,FALSE)</f>
        <v>H</v>
      </c>
      <c r="H90" s="22">
        <f>1.2</f>
        <v>1.2</v>
      </c>
      <c r="I90" s="17">
        <f>IF(A90="COMPOSICAO",VLOOKUP("TOTAL - "&amp;B90,COMPOSICAO_AUX_1!$A:$J,10,FALSE),VLOOKUP(B90,I!$A:$D,4,FALSE))</f>
        <v>21.06</v>
      </c>
      <c r="J90" s="77">
        <f>TRUNC(H90*I90,2)</f>
        <v>25.27</v>
      </c>
      <c r="K90" s="78"/>
      <c r="L90" s="3"/>
      <c r="M90" s="3"/>
      <c r="N90" s="3"/>
    </row>
    <row r="91" spans="1:14" ht="15" customHeight="1" x14ac:dyDescent="0.25">
      <c r="A91" s="16" t="s">
        <v>115</v>
      </c>
      <c r="B91" s="19">
        <v>88316</v>
      </c>
      <c r="C91" s="74" t="str">
        <f>VLOOKUP(B91,IF(A91="COMPOSICAO",S!$A:$D,I!$A:$D),2,FALSE)</f>
        <v>SERVENTE COM ENCARGOS COMPLEMENTARES</v>
      </c>
      <c r="D91" s="74"/>
      <c r="E91" s="74"/>
      <c r="F91" s="74"/>
      <c r="G91" s="16" t="str">
        <f>VLOOKUP(B91,IF(A91="COMPOSICAO",S!$A:$D,I!$A:$D),3,FALSE)</f>
        <v>H</v>
      </c>
      <c r="H91" s="22">
        <f>1.2</f>
        <v>1.2</v>
      </c>
      <c r="I91" s="17">
        <f>IF(A91="COMPOSICAO",VLOOKUP("TOTAL - "&amp;B91,COMPOSICAO_AUX_1!$A:$J,10,FALSE),VLOOKUP(B91,I!$A:$D,4,FALSE))</f>
        <v>16.329999999999998</v>
      </c>
      <c r="J91" s="77">
        <f>TRUNC(H91*I91,2)</f>
        <v>19.59</v>
      </c>
      <c r="K91" s="78"/>
      <c r="L91" s="3"/>
      <c r="M91" s="3"/>
      <c r="N91" s="3"/>
    </row>
    <row r="92" spans="1:14" ht="15" customHeight="1" x14ac:dyDescent="0.25">
      <c r="A92" s="23" t="s">
        <v>116</v>
      </c>
      <c r="B92" s="24"/>
      <c r="C92" s="24"/>
      <c r="D92" s="24"/>
      <c r="E92" s="24"/>
      <c r="F92" s="24"/>
      <c r="G92" s="25"/>
      <c r="H92" s="26"/>
      <c r="I92" s="27"/>
      <c r="J92" s="77">
        <f>SUM(J88:K91)</f>
        <v>165.08</v>
      </c>
      <c r="K92" s="78"/>
    </row>
    <row r="93" spans="1:14" ht="15" customHeight="1" x14ac:dyDescent="0.25">
      <c r="A93" s="23" t="str">
        <f>"TAXA DE BDI ("&amp;BDI&amp;" %)"</f>
        <v>TAXA DE BDI (20,34 %)</v>
      </c>
      <c r="B93" s="24"/>
      <c r="C93" s="24"/>
      <c r="D93" s="24"/>
      <c r="E93" s="24"/>
      <c r="F93" s="24"/>
      <c r="G93" s="25"/>
      <c r="H93" s="26"/>
      <c r="I93" s="27"/>
      <c r="J93" s="77">
        <f>ROUND(J92*(BDI/100),2)</f>
        <v>33.58</v>
      </c>
      <c r="K93" s="78"/>
    </row>
    <row r="94" spans="1:14" ht="15" customHeight="1" x14ac:dyDescent="0.25">
      <c r="A94" s="23" t="s">
        <v>138</v>
      </c>
      <c r="B94" s="24"/>
      <c r="C94" s="24"/>
      <c r="D94" s="24"/>
      <c r="E94" s="24"/>
      <c r="F94" s="24"/>
      <c r="G94" s="25"/>
      <c r="H94" s="26"/>
      <c r="I94" s="27"/>
      <c r="J94" s="77">
        <f>SUM(J92:K93)</f>
        <v>198.66000000000003</v>
      </c>
      <c r="K94" s="78"/>
    </row>
    <row r="95" spans="1:14" ht="15" customHeight="1" x14ac:dyDescent="0.25">
      <c r="A95" s="3"/>
      <c r="B95" s="3"/>
      <c r="C95" s="3"/>
      <c r="D95" s="3"/>
      <c r="E95" s="3"/>
      <c r="F95" s="3"/>
      <c r="G95" s="3"/>
      <c r="H95" s="3"/>
      <c r="I95" s="3"/>
      <c r="J95" s="3"/>
      <c r="K95" s="3"/>
    </row>
    <row r="96" spans="1:14" ht="15" customHeight="1" x14ac:dyDescent="0.25">
      <c r="A96" s="10" t="s">
        <v>110</v>
      </c>
      <c r="B96" s="10" t="s">
        <v>31</v>
      </c>
      <c r="C96" s="79" t="s">
        <v>8</v>
      </c>
      <c r="D96" s="80"/>
      <c r="E96" s="80"/>
      <c r="F96" s="80"/>
      <c r="G96" s="6" t="s">
        <v>32</v>
      </c>
      <c r="H96" s="6" t="s">
        <v>111</v>
      </c>
      <c r="I96" s="6" t="s">
        <v>112</v>
      </c>
      <c r="J96" s="51" t="s">
        <v>10</v>
      </c>
      <c r="K96" s="52"/>
    </row>
    <row r="97" spans="1:14" ht="60" customHeight="1" x14ac:dyDescent="0.25">
      <c r="A97" s="6" t="s">
        <v>139</v>
      </c>
      <c r="B97" s="20">
        <v>89957</v>
      </c>
      <c r="C97" s="81" t="str">
        <f>VLOOKUP(B97,S!$A:$D,2,FALSE)</f>
        <v>PONTO DE CONSUMO TERMINAL DE ÁGUA FRIA (SUBRAMAL) COM TUBULAÇÃO DE PVC, DN 25 MM, INSTALADO EM RAMAL DE ÁGUA, INCLUSOS RASGO E CHUMBAMENTO EM ALVENARIA. AF_12/2014</v>
      </c>
      <c r="D97" s="81"/>
      <c r="E97" s="81"/>
      <c r="F97" s="82"/>
      <c r="G97" s="6" t="str">
        <f>VLOOKUP(B97,S!$A:$D,3,FALSE)</f>
        <v>UN</v>
      </c>
      <c r="H97" s="21"/>
      <c r="I97" s="21">
        <f>J104</f>
        <v>114.24</v>
      </c>
      <c r="J97" s="73"/>
      <c r="K97" s="69"/>
      <c r="L97" s="21">
        <f>VLOOKUP(B97,S!$A:$D,4,FALSE)</f>
        <v>114.24</v>
      </c>
      <c r="M97" s="6" t="str">
        <f>IF(ROUND((L97-I97),2)=0,"OK, confere com a tabela.",IF(ROUND((L97-I97),2)&lt;0,"ACIMA ("&amp;TEXT(ROUND(I97*100/L97,4),"0,0000")&amp;" %) da tabela.","ABAIXO ("&amp;TEXT(ROUND(I97*100/L97,4),"0,0000")&amp;" %) da tabela."))</f>
        <v>OK, confere com a tabela.</v>
      </c>
    </row>
    <row r="98" spans="1:14" ht="45" customHeight="1" x14ac:dyDescent="0.25">
      <c r="A98" s="16" t="s">
        <v>115</v>
      </c>
      <c r="B98" s="19">
        <v>89356</v>
      </c>
      <c r="C98" s="74" t="str">
        <f>VLOOKUP(B98,IF(A98="COMPOSICAO",S!$A:$D,I!$A:$D),2,FALSE)</f>
        <v>TUBO, PVC, SOLDÁVEL, DN 25MM, INSTALADO EM RAMAL OU SUB-RAMAL DE ÁGUA - FORNECIMENTO E INSTALAÇÃO. AF_12/2014</v>
      </c>
      <c r="D98" s="74"/>
      <c r="E98" s="74"/>
      <c r="F98" s="74"/>
      <c r="G98" s="16" t="str">
        <f>VLOOKUP(B98,IF(A98="COMPOSICAO",S!$A:$D,I!$A:$D),3,FALSE)</f>
        <v>M</v>
      </c>
      <c r="H98" s="22">
        <f>2.14</f>
        <v>2.14</v>
      </c>
      <c r="I98" s="17">
        <f>IF(A98="COMPOSICAO",VLOOKUP("TOTAL - "&amp;B98,COMPOSICAO_AUX_1!$A:$J,10,FALSE),VLOOKUP(B98,I!$A:$D,4,FALSE))</f>
        <v>17.830000000000002</v>
      </c>
      <c r="J98" s="77">
        <f t="shared" ref="J98:J103" si="4">TRUNC(H98*I98,2)</f>
        <v>38.15</v>
      </c>
      <c r="K98" s="78"/>
      <c r="L98" s="3"/>
      <c r="M98" s="3"/>
      <c r="N98" s="3"/>
    </row>
    <row r="99" spans="1:14" ht="45" customHeight="1" x14ac:dyDescent="0.25">
      <c r="A99" s="16" t="s">
        <v>115</v>
      </c>
      <c r="B99" s="19">
        <v>89362</v>
      </c>
      <c r="C99" s="74" t="str">
        <f>VLOOKUP(B99,IF(A99="COMPOSICAO",S!$A:$D,I!$A:$D),2,FALSE)</f>
        <v>JOELHO 90 GRAUS, PVC, SOLDÁVEL, DN 25MM, INSTALADO EM RAMAL OU SUB-RAMAL DE ÁGUA - FORNECIMENTO E INSTALAÇÃO. AF_12/2014</v>
      </c>
      <c r="D99" s="74"/>
      <c r="E99" s="74"/>
      <c r="F99" s="74"/>
      <c r="G99" s="16" t="str">
        <f>VLOOKUP(B99,IF(A99="COMPOSICAO",S!$A:$D,I!$A:$D),3,FALSE)</f>
        <v>UN</v>
      </c>
      <c r="H99" s="22">
        <f>1.18</f>
        <v>1.18</v>
      </c>
      <c r="I99" s="17">
        <f>IF(A99="COMPOSICAO",VLOOKUP("TOTAL - "&amp;B99,COMPOSICAO_AUX_1!$A:$J,10,FALSE),VLOOKUP(B99,I!$A:$D,4,FALSE))</f>
        <v>7.24</v>
      </c>
      <c r="J99" s="77">
        <f t="shared" si="4"/>
        <v>8.5399999999999991</v>
      </c>
      <c r="K99" s="78"/>
      <c r="L99" s="3"/>
      <c r="M99" s="3"/>
      <c r="N99" s="3"/>
    </row>
    <row r="100" spans="1:14" ht="60" customHeight="1" x14ac:dyDescent="0.25">
      <c r="A100" s="16" t="s">
        <v>115</v>
      </c>
      <c r="B100" s="19">
        <v>89366</v>
      </c>
      <c r="C100" s="74" t="str">
        <f>VLOOKUP(B100,IF(A100="COMPOSICAO",S!$A:$D,I!$A:$D),2,FALSE)</f>
        <v>JOELHO 90 GRAUS COM BUCHA DE LATÃO, PVC, SOLDÁVEL, DN 25MM, X 3/4 INSTALADO EM RAMAL OU SUB-RAMAL DE ÁGUA - FORNECIMENTO E INSTALAÇÃO. AF_12/2014</v>
      </c>
      <c r="D100" s="74"/>
      <c r="E100" s="74"/>
      <c r="F100" s="74"/>
      <c r="G100" s="16" t="str">
        <f>VLOOKUP(B100,IF(A100="COMPOSICAO",S!$A:$D,I!$A:$D),3,FALSE)</f>
        <v>UN</v>
      </c>
      <c r="H100" s="22">
        <f>1</f>
        <v>1</v>
      </c>
      <c r="I100" s="17">
        <f>IF(A100="COMPOSICAO",VLOOKUP("TOTAL - "&amp;B100,COMPOSICAO_AUX_1!$A:$J,10,FALSE),VLOOKUP(B100,I!$A:$D,4,FALSE))</f>
        <v>14.37</v>
      </c>
      <c r="J100" s="77">
        <f t="shared" si="4"/>
        <v>14.37</v>
      </c>
      <c r="K100" s="78"/>
      <c r="L100" s="3"/>
      <c r="M100" s="3"/>
      <c r="N100" s="3"/>
    </row>
    <row r="101" spans="1:14" ht="45" customHeight="1" x14ac:dyDescent="0.25">
      <c r="A101" s="16" t="s">
        <v>115</v>
      </c>
      <c r="B101" s="19">
        <v>89395</v>
      </c>
      <c r="C101" s="74" t="str">
        <f>VLOOKUP(B101,IF(A101="COMPOSICAO",S!$A:$D,I!$A:$D),2,FALSE)</f>
        <v>TE, PVC, SOLDÁVEL, DN 25MM, INSTALADO EM RAMAL OU SUB-RAMAL DE ÁGUA - FORNECIMENTO E INSTALAÇÃO. AF_12/2014</v>
      </c>
      <c r="D101" s="74"/>
      <c r="E101" s="74"/>
      <c r="F101" s="74"/>
      <c r="G101" s="16" t="str">
        <f>VLOOKUP(B101,IF(A101="COMPOSICAO",S!$A:$D,I!$A:$D),3,FALSE)</f>
        <v>UN</v>
      </c>
      <c r="H101" s="22">
        <f>0.89</f>
        <v>0.89</v>
      </c>
      <c r="I101" s="17">
        <f>IF(A101="COMPOSICAO",VLOOKUP("TOTAL - "&amp;B101,COMPOSICAO_AUX_1!$A:$J,10,FALSE),VLOOKUP(B101,I!$A:$D,4,FALSE))</f>
        <v>10.16</v>
      </c>
      <c r="J101" s="77">
        <f t="shared" si="4"/>
        <v>9.0399999999999991</v>
      </c>
      <c r="K101" s="78"/>
      <c r="L101" s="3"/>
      <c r="M101" s="3"/>
      <c r="N101" s="3"/>
    </row>
    <row r="102" spans="1:14" ht="45" customHeight="1" x14ac:dyDescent="0.25">
      <c r="A102" s="16" t="s">
        <v>115</v>
      </c>
      <c r="B102" s="19">
        <v>90443</v>
      </c>
      <c r="C102" s="74" t="str">
        <f>VLOOKUP(B102,IF(A102="COMPOSICAO",S!$A:$D,I!$A:$D),2,FALSE)</f>
        <v>RASGO EM ALVENARIA PARA RAMAIS/ DISTRIBUIÇÃO COM DIAMETROS MENORES OU IGUAIS A 40 MM. AF_05/2015</v>
      </c>
      <c r="D102" s="74"/>
      <c r="E102" s="74"/>
      <c r="F102" s="74"/>
      <c r="G102" s="16" t="str">
        <f>VLOOKUP(B102,IF(A102="COMPOSICAO",S!$A:$D,I!$A:$D),3,FALSE)</f>
        <v>M</v>
      </c>
      <c r="H102" s="22">
        <f>2.14</f>
        <v>2.14</v>
      </c>
      <c r="I102" s="17">
        <f>IF(A102="COMPOSICAO",VLOOKUP("TOTAL - "&amp;B102,COMPOSICAO_AUX_1!$A:$J,10,FALSE),VLOOKUP(B102,I!$A:$D,4,FALSE))</f>
        <v>10.18</v>
      </c>
      <c r="J102" s="77">
        <f t="shared" si="4"/>
        <v>21.78</v>
      </c>
      <c r="K102" s="78"/>
      <c r="L102" s="3"/>
      <c r="M102" s="3"/>
      <c r="N102" s="3"/>
    </row>
    <row r="103" spans="1:14" ht="45" customHeight="1" x14ac:dyDescent="0.25">
      <c r="A103" s="16" t="s">
        <v>115</v>
      </c>
      <c r="B103" s="19">
        <v>90466</v>
      </c>
      <c r="C103" s="74" t="str">
        <f>VLOOKUP(B103,IF(A103="COMPOSICAO",S!$A:$D,I!$A:$D),2,FALSE)</f>
        <v>CHUMBAMENTO LINEAR EM ALVENARIA PARA RAMAIS/DISTRIBUIÇÃO COM DIÂMETROS MENORES OU IGUAIS A 40 MM. AF_05/2015</v>
      </c>
      <c r="D103" s="74"/>
      <c r="E103" s="74"/>
      <c r="F103" s="74"/>
      <c r="G103" s="16" t="str">
        <f>VLOOKUP(B103,IF(A103="COMPOSICAO",S!$A:$D,I!$A:$D),3,FALSE)</f>
        <v>M</v>
      </c>
      <c r="H103" s="22">
        <f>2.14</f>
        <v>2.14</v>
      </c>
      <c r="I103" s="17">
        <f>IF(A103="COMPOSICAO",VLOOKUP("TOTAL - "&amp;B103,COMPOSICAO_AUX_1!$A:$J,10,FALSE),VLOOKUP(B103,I!$A:$D,4,FALSE))</f>
        <v>10.45</v>
      </c>
      <c r="J103" s="77">
        <f t="shared" si="4"/>
        <v>22.36</v>
      </c>
      <c r="K103" s="78"/>
      <c r="L103" s="3"/>
      <c r="M103" s="3"/>
      <c r="N103" s="3"/>
    </row>
    <row r="104" spans="1:14" ht="15" customHeight="1" x14ac:dyDescent="0.25">
      <c r="A104" s="23" t="s">
        <v>116</v>
      </c>
      <c r="B104" s="24"/>
      <c r="C104" s="24"/>
      <c r="D104" s="24"/>
      <c r="E104" s="24"/>
      <c r="F104" s="24"/>
      <c r="G104" s="25"/>
      <c r="H104" s="26"/>
      <c r="I104" s="27"/>
      <c r="J104" s="77">
        <f>SUM(J97:K103)</f>
        <v>114.24</v>
      </c>
      <c r="K104" s="78"/>
    </row>
    <row r="105" spans="1:14" ht="15" customHeight="1" x14ac:dyDescent="0.25">
      <c r="A105" s="23" t="str">
        <f>"TAXA DE BDI ("&amp;BDI&amp;" %)"</f>
        <v>TAXA DE BDI (20,34 %)</v>
      </c>
      <c r="B105" s="24"/>
      <c r="C105" s="24"/>
      <c r="D105" s="24"/>
      <c r="E105" s="24"/>
      <c r="F105" s="24"/>
      <c r="G105" s="25"/>
      <c r="H105" s="26"/>
      <c r="I105" s="27"/>
      <c r="J105" s="77">
        <f>ROUND(J104*(BDI/100),2)</f>
        <v>23.24</v>
      </c>
      <c r="K105" s="78"/>
    </row>
    <row r="106" spans="1:14" ht="15" customHeight="1" x14ac:dyDescent="0.25">
      <c r="A106" s="23" t="s">
        <v>140</v>
      </c>
      <c r="B106" s="24"/>
      <c r="C106" s="24"/>
      <c r="D106" s="24"/>
      <c r="E106" s="24"/>
      <c r="F106" s="24"/>
      <c r="G106" s="25"/>
      <c r="H106" s="26"/>
      <c r="I106" s="27"/>
      <c r="J106" s="77">
        <f>SUM(J104:K105)</f>
        <v>137.47999999999999</v>
      </c>
      <c r="K106" s="78"/>
    </row>
    <row r="107" spans="1:14" ht="15" customHeight="1" x14ac:dyDescent="0.25">
      <c r="A107" s="3"/>
      <c r="B107" s="3"/>
      <c r="C107" s="3"/>
      <c r="D107" s="3"/>
      <c r="E107" s="3"/>
      <c r="F107" s="3"/>
      <c r="G107" s="3"/>
      <c r="H107" s="3"/>
      <c r="I107" s="3"/>
      <c r="J107" s="3"/>
      <c r="K107" s="3"/>
    </row>
    <row r="108" spans="1:14" ht="15" customHeight="1" x14ac:dyDescent="0.25">
      <c r="A108" s="10" t="s">
        <v>110</v>
      </c>
      <c r="B108" s="10" t="s">
        <v>31</v>
      </c>
      <c r="C108" s="79" t="s">
        <v>8</v>
      </c>
      <c r="D108" s="80"/>
      <c r="E108" s="80"/>
      <c r="F108" s="80"/>
      <c r="G108" s="6" t="s">
        <v>32</v>
      </c>
      <c r="H108" s="6" t="s">
        <v>111</v>
      </c>
      <c r="I108" s="6" t="s">
        <v>112</v>
      </c>
      <c r="J108" s="51" t="s">
        <v>10</v>
      </c>
      <c r="K108" s="52"/>
    </row>
    <row r="109" spans="1:14" ht="15" customHeight="1" x14ac:dyDescent="0.25">
      <c r="A109" s="6" t="s">
        <v>12</v>
      </c>
      <c r="B109" s="6" t="s">
        <v>105</v>
      </c>
      <c r="C109" s="81" t="s">
        <v>141</v>
      </c>
      <c r="D109" s="81"/>
      <c r="E109" s="81"/>
      <c r="F109" s="82"/>
      <c r="G109" s="6" t="s">
        <v>142</v>
      </c>
      <c r="H109" s="21"/>
      <c r="I109" s="21">
        <f>J113</f>
        <v>2.25</v>
      </c>
      <c r="J109" s="73"/>
      <c r="K109" s="69"/>
      <c r="L109" s="21">
        <v>0</v>
      </c>
      <c r="M109" s="6" t="s">
        <v>122</v>
      </c>
    </row>
    <row r="110" spans="1:14" ht="15" customHeight="1" x14ac:dyDescent="0.25">
      <c r="A110" s="16" t="s">
        <v>114</v>
      </c>
      <c r="B110" s="16" t="s">
        <v>143</v>
      </c>
      <c r="C110" s="74" t="str">
        <f>VLOOKUP(B110,IF(A110="COMPOSICAO",S!$A:$D,I!$A:$D),2,FALSE)</f>
        <v>SABÃO EM PÓ</v>
      </c>
      <c r="D110" s="74"/>
      <c r="E110" s="74"/>
      <c r="F110" s="74"/>
      <c r="G110" s="16" t="str">
        <f>VLOOKUP(B110,IF(A110="COMPOSICAO",S!$A:$D,I!$A:$D),3,FALSE)</f>
        <v>KG</v>
      </c>
      <c r="H110" s="22">
        <f>0.005</f>
        <v>5.0000000000000001E-3</v>
      </c>
      <c r="I110" s="17">
        <f>IF(A110="COMPOSICAO",VLOOKUP("TOTAL - "&amp;B110,COMPOSICAO_AUX_1!$A:$J,10,FALSE),VLOOKUP(B110,I!$A:$D,4,FALSE))</f>
        <v>9.08</v>
      </c>
      <c r="J110" s="77">
        <f>TRUNC(H110*I110,2)</f>
        <v>0.04</v>
      </c>
      <c r="K110" s="78"/>
      <c r="L110" s="3"/>
      <c r="M110" s="3"/>
      <c r="N110" s="3"/>
    </row>
    <row r="111" spans="1:14" ht="15" customHeight="1" x14ac:dyDescent="0.25">
      <c r="A111" s="16" t="s">
        <v>114</v>
      </c>
      <c r="B111" s="16" t="s">
        <v>144</v>
      </c>
      <c r="C111" s="74" t="str">
        <f>VLOOKUP(B111,IF(A111="COMPOSICAO",S!$A:$D,I!$A:$D),2,FALSE)</f>
        <v>VASSOURA PIAÇAVA</v>
      </c>
      <c r="D111" s="74"/>
      <c r="E111" s="74"/>
      <c r="F111" s="74"/>
      <c r="G111" s="16" t="str">
        <f>VLOOKUP(B111,IF(A111="COMPOSICAO",S!$A:$D,I!$A:$D),3,FALSE)</f>
        <v>UN</v>
      </c>
      <c r="H111" s="22">
        <f>0.05</f>
        <v>0.05</v>
      </c>
      <c r="I111" s="17">
        <f>IF(A111="COMPOSICAO",VLOOKUP("TOTAL - "&amp;B111,COMPOSICAO_AUX_1!$A:$J,10,FALSE),VLOOKUP(B111,I!$A:$D,4,FALSE))</f>
        <v>11.78</v>
      </c>
      <c r="J111" s="77">
        <f>TRUNC(H111*I111,2)</f>
        <v>0.57999999999999996</v>
      </c>
      <c r="K111" s="78"/>
      <c r="L111" s="3"/>
      <c r="M111" s="3"/>
      <c r="N111" s="3"/>
    </row>
    <row r="112" spans="1:14" ht="15" customHeight="1" x14ac:dyDescent="0.25">
      <c r="A112" s="16" t="s">
        <v>115</v>
      </c>
      <c r="B112" s="19">
        <v>88316</v>
      </c>
      <c r="C112" s="74" t="str">
        <f>VLOOKUP(B112,IF(A112="COMPOSICAO",S!$A:$D,I!$A:$D),2,FALSE)</f>
        <v>SERVENTE COM ENCARGOS COMPLEMENTARES</v>
      </c>
      <c r="D112" s="74"/>
      <c r="E112" s="74"/>
      <c r="F112" s="74"/>
      <c r="G112" s="16" t="str">
        <f>VLOOKUP(B112,IF(A112="COMPOSICAO",S!$A:$D,I!$A:$D),3,FALSE)</f>
        <v>H</v>
      </c>
      <c r="H112" s="22">
        <f>0.1</f>
        <v>0.1</v>
      </c>
      <c r="I112" s="17">
        <f>IF(A112="COMPOSICAO",VLOOKUP("TOTAL - "&amp;B112,COMPOSICAO_AUX_1!$A:$J,10,FALSE),VLOOKUP(B112,I!$A:$D,4,FALSE))</f>
        <v>16.329999999999998</v>
      </c>
      <c r="J112" s="77">
        <f>TRUNC(H112*I112,2)</f>
        <v>1.63</v>
      </c>
      <c r="K112" s="78"/>
      <c r="L112" s="3"/>
      <c r="M112" s="3"/>
      <c r="N112" s="3"/>
    </row>
    <row r="113" spans="1:14" ht="15" customHeight="1" x14ac:dyDescent="0.25">
      <c r="A113" s="23" t="s">
        <v>116</v>
      </c>
      <c r="B113" s="24"/>
      <c r="C113" s="24"/>
      <c r="D113" s="24"/>
      <c r="E113" s="24"/>
      <c r="F113" s="24"/>
      <c r="G113" s="25"/>
      <c r="H113" s="26"/>
      <c r="I113" s="27"/>
      <c r="J113" s="77">
        <f>SUM(J109:K112)</f>
        <v>2.25</v>
      </c>
      <c r="K113" s="78"/>
    </row>
    <row r="114" spans="1:14" ht="15" customHeight="1" x14ac:dyDescent="0.25">
      <c r="A114" s="23" t="str">
        <f>"TAXA DE BDI ("&amp;BDI&amp;" %)"</f>
        <v>TAXA DE BDI (20,34 %)</v>
      </c>
      <c r="B114" s="24"/>
      <c r="C114" s="24"/>
      <c r="D114" s="24"/>
      <c r="E114" s="24"/>
      <c r="F114" s="24"/>
      <c r="G114" s="25"/>
      <c r="H114" s="26"/>
      <c r="I114" s="27"/>
      <c r="J114" s="77">
        <f>ROUND(J113*(BDI/100),2)</f>
        <v>0.46</v>
      </c>
      <c r="K114" s="78"/>
    </row>
    <row r="115" spans="1:14" ht="15" customHeight="1" x14ac:dyDescent="0.25">
      <c r="A115" s="23" t="s">
        <v>145</v>
      </c>
      <c r="B115" s="24"/>
      <c r="C115" s="24"/>
      <c r="D115" s="24"/>
      <c r="E115" s="24"/>
      <c r="F115" s="24"/>
      <c r="G115" s="25"/>
      <c r="H115" s="26"/>
      <c r="I115" s="27"/>
      <c r="J115" s="77">
        <f>SUM(J113:K114)</f>
        <v>2.71</v>
      </c>
      <c r="K115" s="78"/>
    </row>
    <row r="116" spans="1:14" ht="15" customHeight="1" x14ac:dyDescent="0.25">
      <c r="A116" s="3"/>
      <c r="B116" s="3"/>
      <c r="C116" s="3"/>
      <c r="D116" s="3"/>
      <c r="E116" s="3"/>
      <c r="F116" s="3"/>
      <c r="G116" s="3"/>
      <c r="H116" s="3"/>
      <c r="I116" s="3"/>
      <c r="J116" s="3"/>
      <c r="K116" s="3"/>
    </row>
    <row r="117" spans="1:14" ht="15" customHeight="1" x14ac:dyDescent="0.25">
      <c r="A117" s="10" t="s">
        <v>110</v>
      </c>
      <c r="B117" s="10" t="s">
        <v>31</v>
      </c>
      <c r="C117" s="79" t="s">
        <v>8</v>
      </c>
      <c r="D117" s="80"/>
      <c r="E117" s="80"/>
      <c r="F117" s="80"/>
      <c r="G117" s="6" t="s">
        <v>32</v>
      </c>
      <c r="H117" s="6" t="s">
        <v>111</v>
      </c>
      <c r="I117" s="6" t="s">
        <v>112</v>
      </c>
      <c r="J117" s="51" t="s">
        <v>10</v>
      </c>
      <c r="K117" s="52"/>
    </row>
    <row r="118" spans="1:14" ht="30" customHeight="1" x14ac:dyDescent="0.25">
      <c r="A118" s="6" t="s">
        <v>12</v>
      </c>
      <c r="B118" s="6" t="s">
        <v>107</v>
      </c>
      <c r="C118" s="81" t="s">
        <v>146</v>
      </c>
      <c r="D118" s="81"/>
      <c r="E118" s="81"/>
      <c r="F118" s="82"/>
      <c r="G118" s="6" t="s">
        <v>147</v>
      </c>
      <c r="H118" s="21"/>
      <c r="I118" s="21">
        <f>J120</f>
        <v>50</v>
      </c>
      <c r="J118" s="73"/>
      <c r="K118" s="69"/>
      <c r="L118" s="21">
        <v>0</v>
      </c>
      <c r="M118" s="6" t="s">
        <v>122</v>
      </c>
    </row>
    <row r="119" spans="1:14" ht="30" customHeight="1" x14ac:dyDescent="0.25">
      <c r="A119" s="16" t="s">
        <v>114</v>
      </c>
      <c r="B119" s="16" t="s">
        <v>148</v>
      </c>
      <c r="C119" s="74" t="str">
        <f>VLOOKUP(B119,IF(A119="COMPOSICAO",S!$A:$D,I!$A:$D),2,FALSE)</f>
        <v>LOCAÇÃO DE CAIXA COLETORA DE ENTULHO CAPACIDADE 5 M³ (LOCAL: ARACAJU)</v>
      </c>
      <c r="D119" s="74"/>
      <c r="E119" s="74"/>
      <c r="F119" s="74"/>
      <c r="G119" s="16" t="str">
        <f>VLOOKUP(B119,IF(A119="COMPOSICAO",S!$A:$D,I!$A:$D),3,FALSE)</f>
        <v>UN</v>
      </c>
      <c r="H119" s="22">
        <f>0.2</f>
        <v>0.2</v>
      </c>
      <c r="I119" s="17">
        <f>IF(A119="COMPOSICAO",VLOOKUP("TOTAL - "&amp;B119,COMPOSICAO_AUX_1!$A:$J,10,FALSE),VLOOKUP(B119,I!$A:$D,4,FALSE))</f>
        <v>250</v>
      </c>
      <c r="J119" s="77">
        <f>TRUNC(H119*I119,2)</f>
        <v>50</v>
      </c>
      <c r="K119" s="78"/>
      <c r="L119" s="3"/>
      <c r="M119" s="3"/>
      <c r="N119" s="3"/>
    </row>
    <row r="120" spans="1:14" ht="15" customHeight="1" x14ac:dyDescent="0.25">
      <c r="A120" s="23" t="s">
        <v>116</v>
      </c>
      <c r="B120" s="24"/>
      <c r="C120" s="24"/>
      <c r="D120" s="24"/>
      <c r="E120" s="24"/>
      <c r="F120" s="24"/>
      <c r="G120" s="25"/>
      <c r="H120" s="26"/>
      <c r="I120" s="27"/>
      <c r="J120" s="77">
        <f>SUM(J118:K119)</f>
        <v>50</v>
      </c>
      <c r="K120" s="78"/>
    </row>
    <row r="121" spans="1:14" ht="15" customHeight="1" x14ac:dyDescent="0.25">
      <c r="A121" s="23" t="str">
        <f>"TAXA DE BDI ("&amp;BDI&amp;" %)"</f>
        <v>TAXA DE BDI (20,34 %)</v>
      </c>
      <c r="B121" s="24"/>
      <c r="C121" s="24"/>
      <c r="D121" s="24"/>
      <c r="E121" s="24"/>
      <c r="F121" s="24"/>
      <c r="G121" s="25"/>
      <c r="H121" s="26"/>
      <c r="I121" s="27"/>
      <c r="J121" s="77">
        <f>ROUND(J120*(BDI/100),2)</f>
        <v>10.17</v>
      </c>
      <c r="K121" s="78"/>
    </row>
    <row r="122" spans="1:14" ht="15" customHeight="1" x14ac:dyDescent="0.25">
      <c r="A122" s="23" t="s">
        <v>149</v>
      </c>
      <c r="B122" s="24"/>
      <c r="C122" s="24"/>
      <c r="D122" s="24"/>
      <c r="E122" s="24"/>
      <c r="F122" s="24"/>
      <c r="G122" s="25"/>
      <c r="H122" s="26"/>
      <c r="I122" s="27"/>
      <c r="J122" s="77">
        <f>SUM(J120:K121)</f>
        <v>60.17</v>
      </c>
      <c r="K122" s="78"/>
    </row>
    <row r="123" spans="1:14" ht="15" customHeight="1" x14ac:dyDescent="0.25">
      <c r="A123" s="3"/>
      <c r="B123" s="3"/>
      <c r="C123" s="3"/>
      <c r="D123" s="3"/>
      <c r="E123" s="3"/>
      <c r="F123" s="3"/>
      <c r="G123" s="3"/>
      <c r="H123" s="3"/>
      <c r="I123" s="3"/>
      <c r="J123" s="3"/>
      <c r="K123" s="3"/>
    </row>
  </sheetData>
  <sheetProtection formatCells="0" formatColumns="0" formatRows="0" insertColumns="0" insertRows="0" insertHyperlinks="0" deleteColumns="0" deleteRows="0" sort="0" autoFilter="0" pivotTables="0"/>
  <mergeCells count="179">
    <mergeCell ref="C8:F8"/>
    <mergeCell ref="J8:K8"/>
    <mergeCell ref="C9:F9"/>
    <mergeCell ref="J9:K9"/>
    <mergeCell ref="C10:F10"/>
    <mergeCell ref="J10:K10"/>
    <mergeCell ref="A1:K1"/>
    <mergeCell ref="A2:K2"/>
    <mergeCell ref="A3:K3"/>
    <mergeCell ref="C6:F6"/>
    <mergeCell ref="J6:K6"/>
    <mergeCell ref="C7:F7"/>
    <mergeCell ref="J7:K7"/>
    <mergeCell ref="J14:K14"/>
    <mergeCell ref="J15:K15"/>
    <mergeCell ref="J16:K16"/>
    <mergeCell ref="C18:F18"/>
    <mergeCell ref="J18:K18"/>
    <mergeCell ref="C19:F19"/>
    <mergeCell ref="J19:K19"/>
    <mergeCell ref="C11:F11"/>
    <mergeCell ref="J11:K11"/>
    <mergeCell ref="C12:F12"/>
    <mergeCell ref="J12:K12"/>
    <mergeCell ref="C13:F13"/>
    <mergeCell ref="J13:K13"/>
    <mergeCell ref="C23:F23"/>
    <mergeCell ref="J23:K23"/>
    <mergeCell ref="C24:F24"/>
    <mergeCell ref="J24:K24"/>
    <mergeCell ref="C25:F25"/>
    <mergeCell ref="J25:K25"/>
    <mergeCell ref="C20:F20"/>
    <mergeCell ref="J20:K20"/>
    <mergeCell ref="C21:F21"/>
    <mergeCell ref="J21:K21"/>
    <mergeCell ref="C22:F22"/>
    <mergeCell ref="J22:K22"/>
    <mergeCell ref="C32:F32"/>
    <mergeCell ref="J32:K32"/>
    <mergeCell ref="C33:F33"/>
    <mergeCell ref="J33:K33"/>
    <mergeCell ref="C34:F34"/>
    <mergeCell ref="J34:K34"/>
    <mergeCell ref="J26:K26"/>
    <mergeCell ref="J27:K27"/>
    <mergeCell ref="J28:K28"/>
    <mergeCell ref="C30:F30"/>
    <mergeCell ref="J30:K30"/>
    <mergeCell ref="C31:F31"/>
    <mergeCell ref="J31:K31"/>
    <mergeCell ref="C38:F38"/>
    <mergeCell ref="J38:K38"/>
    <mergeCell ref="J39:K39"/>
    <mergeCell ref="J40:K40"/>
    <mergeCell ref="J41:K41"/>
    <mergeCell ref="C43:F43"/>
    <mergeCell ref="J43:K43"/>
    <mergeCell ref="C35:F35"/>
    <mergeCell ref="J35:K35"/>
    <mergeCell ref="C36:F36"/>
    <mergeCell ref="J36:K36"/>
    <mergeCell ref="C37:F37"/>
    <mergeCell ref="J37:K37"/>
    <mergeCell ref="J47:K47"/>
    <mergeCell ref="J48:K48"/>
    <mergeCell ref="J49:K49"/>
    <mergeCell ref="C51:F51"/>
    <mergeCell ref="J51:K51"/>
    <mergeCell ref="C52:F52"/>
    <mergeCell ref="J52:K52"/>
    <mergeCell ref="C44:F44"/>
    <mergeCell ref="J44:K44"/>
    <mergeCell ref="C45:F45"/>
    <mergeCell ref="J45:K45"/>
    <mergeCell ref="C46:F46"/>
    <mergeCell ref="J46:K46"/>
    <mergeCell ref="J57:K57"/>
    <mergeCell ref="C59:F59"/>
    <mergeCell ref="J59:K59"/>
    <mergeCell ref="C60:F60"/>
    <mergeCell ref="J60:K60"/>
    <mergeCell ref="C61:F61"/>
    <mergeCell ref="J61:K61"/>
    <mergeCell ref="C53:F53"/>
    <mergeCell ref="J53:K53"/>
    <mergeCell ref="C54:F54"/>
    <mergeCell ref="J54:K54"/>
    <mergeCell ref="J55:K55"/>
    <mergeCell ref="J56:K56"/>
    <mergeCell ref="C68:F68"/>
    <mergeCell ref="J68:K68"/>
    <mergeCell ref="C69:F69"/>
    <mergeCell ref="J69:K69"/>
    <mergeCell ref="C70:F70"/>
    <mergeCell ref="J70:K70"/>
    <mergeCell ref="J62:K62"/>
    <mergeCell ref="J63:K63"/>
    <mergeCell ref="J64:K64"/>
    <mergeCell ref="C66:F66"/>
    <mergeCell ref="J66:K66"/>
    <mergeCell ref="C67:F67"/>
    <mergeCell ref="J67:K67"/>
    <mergeCell ref="J74:K74"/>
    <mergeCell ref="J75:K75"/>
    <mergeCell ref="J76:K76"/>
    <mergeCell ref="C78:F78"/>
    <mergeCell ref="J78:K78"/>
    <mergeCell ref="C79:F79"/>
    <mergeCell ref="J79:K79"/>
    <mergeCell ref="C71:F71"/>
    <mergeCell ref="J71:K71"/>
    <mergeCell ref="C72:F72"/>
    <mergeCell ref="J72:K72"/>
    <mergeCell ref="C73:F73"/>
    <mergeCell ref="J73:K73"/>
    <mergeCell ref="J83:K83"/>
    <mergeCell ref="J84:K84"/>
    <mergeCell ref="J85:K85"/>
    <mergeCell ref="C87:F87"/>
    <mergeCell ref="J87:K87"/>
    <mergeCell ref="C88:F88"/>
    <mergeCell ref="J88:K88"/>
    <mergeCell ref="C80:F80"/>
    <mergeCell ref="J80:K80"/>
    <mergeCell ref="C81:F81"/>
    <mergeCell ref="J81:K81"/>
    <mergeCell ref="C82:F82"/>
    <mergeCell ref="J82:K82"/>
    <mergeCell ref="J92:K92"/>
    <mergeCell ref="J93:K93"/>
    <mergeCell ref="J94:K94"/>
    <mergeCell ref="C96:F96"/>
    <mergeCell ref="J96:K96"/>
    <mergeCell ref="C97:F97"/>
    <mergeCell ref="J97:K97"/>
    <mergeCell ref="C89:F89"/>
    <mergeCell ref="J89:K89"/>
    <mergeCell ref="C90:F90"/>
    <mergeCell ref="J90:K90"/>
    <mergeCell ref="C91:F91"/>
    <mergeCell ref="J91:K91"/>
    <mergeCell ref="C101:F101"/>
    <mergeCell ref="J101:K101"/>
    <mergeCell ref="C102:F102"/>
    <mergeCell ref="J102:K102"/>
    <mergeCell ref="C103:F103"/>
    <mergeCell ref="J103:K103"/>
    <mergeCell ref="C98:F98"/>
    <mergeCell ref="J98:K98"/>
    <mergeCell ref="C99:F99"/>
    <mergeCell ref="J99:K99"/>
    <mergeCell ref="C100:F100"/>
    <mergeCell ref="J100:K100"/>
    <mergeCell ref="C110:F110"/>
    <mergeCell ref="J110:K110"/>
    <mergeCell ref="C111:F111"/>
    <mergeCell ref="J111:K111"/>
    <mergeCell ref="C112:F112"/>
    <mergeCell ref="J112:K112"/>
    <mergeCell ref="J104:K104"/>
    <mergeCell ref="J105:K105"/>
    <mergeCell ref="J106:K106"/>
    <mergeCell ref="C108:F108"/>
    <mergeCell ref="J108:K108"/>
    <mergeCell ref="C109:F109"/>
    <mergeCell ref="J109:K109"/>
    <mergeCell ref="C119:F119"/>
    <mergeCell ref="J119:K119"/>
    <mergeCell ref="J120:K120"/>
    <mergeCell ref="J121:K121"/>
    <mergeCell ref="J122:K122"/>
    <mergeCell ref="J113:K113"/>
    <mergeCell ref="J114:K114"/>
    <mergeCell ref="J115:K115"/>
    <mergeCell ref="C117:F117"/>
    <mergeCell ref="J117:K117"/>
    <mergeCell ref="C118:F118"/>
    <mergeCell ref="J118:K118"/>
  </mergeCell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view="pageBreakPreview" zoomScale="60" zoomScaleNormal="100" workbookViewId="0">
      <selection activeCell="A15" sqref="A15:K15"/>
    </sheetView>
  </sheetViews>
  <sheetFormatPr defaultRowHeight="15" customHeight="1" x14ac:dyDescent="0.25"/>
  <cols>
    <col min="1" max="2" width="12.7109375" style="1" customWidth="1"/>
    <col min="3" max="3" width="4.7109375" style="1" customWidth="1"/>
    <col min="4" max="4" width="8.7109375" style="1" customWidth="1"/>
    <col min="5" max="5" width="19" style="1" customWidth="1"/>
    <col min="6" max="6" width="15.7109375" style="1" customWidth="1"/>
    <col min="7" max="14" width="10.7109375" style="1" customWidth="1"/>
    <col min="15" max="16" width="12.7109375" style="1" customWidth="1"/>
    <col min="17" max="16384" width="9.140625" style="1"/>
  </cols>
  <sheetData>
    <row r="1" spans="1:16" ht="15" customHeight="1" x14ac:dyDescent="0.25">
      <c r="A1" s="49" t="str">
        <f>CIDADE</f>
        <v>MUNICÍPIO DE SAO RAIMUNDO NONATO - PI</v>
      </c>
      <c r="B1" s="49"/>
      <c r="C1" s="49"/>
      <c r="D1" s="49"/>
      <c r="E1" s="49"/>
      <c r="F1" s="49"/>
      <c r="G1" s="49"/>
      <c r="H1" s="49"/>
      <c r="I1" s="49"/>
      <c r="J1" s="49"/>
      <c r="K1" s="49"/>
      <c r="L1" s="49"/>
      <c r="M1" s="49"/>
      <c r="N1" s="49"/>
      <c r="O1" s="49"/>
      <c r="P1" s="49"/>
    </row>
    <row r="2" spans="1:16" ht="15" customHeight="1" x14ac:dyDescent="0.25">
      <c r="A2" s="49" t="str">
        <f>OBRA</f>
        <v>ESPAÇO DA CIDADANIA</v>
      </c>
      <c r="B2" s="49"/>
      <c r="C2" s="49"/>
      <c r="D2" s="49"/>
      <c r="E2" s="49"/>
      <c r="F2" s="49"/>
      <c r="G2" s="49"/>
      <c r="H2" s="49"/>
      <c r="I2" s="49"/>
      <c r="J2" s="49"/>
      <c r="K2" s="49"/>
      <c r="L2" s="49"/>
      <c r="M2" s="49"/>
      <c r="N2" s="49"/>
      <c r="O2" s="49"/>
      <c r="P2" s="49"/>
    </row>
    <row r="3" spans="1:16" ht="15" customHeight="1" x14ac:dyDescent="0.25">
      <c r="A3" s="49" t="s">
        <v>47</v>
      </c>
      <c r="B3" s="49"/>
      <c r="C3" s="49"/>
      <c r="D3" s="49"/>
      <c r="E3" s="49"/>
      <c r="F3" s="49"/>
      <c r="G3" s="49"/>
      <c r="H3" s="49"/>
      <c r="I3" s="49"/>
      <c r="J3" s="49"/>
      <c r="K3" s="49"/>
      <c r="L3" s="49"/>
      <c r="M3" s="49"/>
      <c r="N3" s="49"/>
      <c r="O3" s="49"/>
      <c r="P3" s="49"/>
    </row>
    <row r="4" spans="1:16" ht="15" customHeight="1" x14ac:dyDescent="0.25">
      <c r="A4" s="3"/>
      <c r="B4" s="3"/>
      <c r="C4" s="3"/>
      <c r="D4" s="3"/>
      <c r="E4" s="3"/>
      <c r="F4" s="3"/>
      <c r="G4" s="3"/>
      <c r="H4" s="3"/>
      <c r="I4" s="3"/>
      <c r="J4" s="3"/>
      <c r="K4" s="3"/>
      <c r="L4" s="3"/>
      <c r="M4" s="3"/>
      <c r="N4" s="3"/>
      <c r="O4" s="3"/>
      <c r="P4" s="3"/>
    </row>
    <row r="5" spans="1:16" ht="15" customHeight="1" x14ac:dyDescent="0.25">
      <c r="A5" s="2" t="s">
        <v>3</v>
      </c>
      <c r="B5" s="4" t="str">
        <f>FONTE&amp;ONERA</f>
        <v>SINAPI PI-12/2021, SEINFRA 27, ORSE-11/2021, SEM DESONERAÇÃO</v>
      </c>
      <c r="C5" s="2"/>
      <c r="D5" s="2"/>
      <c r="E5" s="2"/>
      <c r="F5" s="3"/>
      <c r="G5" s="2"/>
      <c r="H5" s="5"/>
      <c r="I5" s="3"/>
      <c r="J5" s="3"/>
      <c r="K5" s="89" t="s">
        <v>6</v>
      </c>
      <c r="L5" s="89"/>
      <c r="M5" s="5">
        <f>LEI</f>
        <v>111.86</v>
      </c>
      <c r="N5" s="2"/>
      <c r="O5" s="2" t="s">
        <v>7</v>
      </c>
      <c r="P5" s="5">
        <f>BDI</f>
        <v>20.34</v>
      </c>
    </row>
    <row r="6" spans="1:16" ht="15" customHeight="1" x14ac:dyDescent="0.25">
      <c r="A6" s="10" t="s">
        <v>20</v>
      </c>
      <c r="B6" s="15" t="s">
        <v>31</v>
      </c>
      <c r="C6" s="46" t="s">
        <v>8</v>
      </c>
      <c r="D6" s="47"/>
      <c r="E6" s="47"/>
      <c r="F6" s="48"/>
      <c r="G6" s="6" t="s">
        <v>32</v>
      </c>
      <c r="H6" s="6" t="s">
        <v>33</v>
      </c>
      <c r="I6" s="6" t="s">
        <v>48</v>
      </c>
      <c r="J6" s="6" t="s">
        <v>49</v>
      </c>
      <c r="K6" s="6" t="s">
        <v>50</v>
      </c>
      <c r="L6" s="6" t="s">
        <v>51</v>
      </c>
      <c r="M6" s="6" t="s">
        <v>52</v>
      </c>
      <c r="N6" s="6" t="s">
        <v>53</v>
      </c>
      <c r="O6" s="6" t="s">
        <v>54</v>
      </c>
      <c r="P6" s="6" t="s">
        <v>22</v>
      </c>
    </row>
    <row r="7" spans="1:16" ht="15" customHeight="1" x14ac:dyDescent="0.25">
      <c r="A7" s="15">
        <v>1</v>
      </c>
      <c r="B7" s="86" t="s">
        <v>55</v>
      </c>
      <c r="C7" s="87"/>
      <c r="D7" s="87"/>
      <c r="E7" s="87"/>
      <c r="F7" s="87"/>
      <c r="G7" s="87"/>
      <c r="H7" s="87"/>
      <c r="I7" s="87"/>
      <c r="J7" s="87"/>
      <c r="K7" s="87"/>
      <c r="L7" s="87"/>
      <c r="M7" s="87"/>
      <c r="N7" s="87"/>
      <c r="O7" s="87"/>
      <c r="P7" s="88"/>
    </row>
    <row r="8" spans="1:16" ht="30" customHeight="1" x14ac:dyDescent="0.25">
      <c r="A8" s="16" t="s">
        <v>35</v>
      </c>
      <c r="B8" s="19">
        <v>90777</v>
      </c>
      <c r="C8" s="83" t="str">
        <f>VLOOKUP(B8,COMPOSICAO!B:K,2,FALSE)</f>
        <v>ENGENHEIRO CIVIL DE OBRA JUNIOR COM ENCARGOS COMPLEMENTARES</v>
      </c>
      <c r="D8" s="84"/>
      <c r="E8" s="84"/>
      <c r="F8" s="85"/>
      <c r="G8" s="16" t="str">
        <f>VLOOKUP(B8,COMPOSICAO!B:K,6,FALSE)</f>
        <v>H</v>
      </c>
      <c r="H8" s="16"/>
      <c r="I8" s="16"/>
      <c r="J8" s="16"/>
      <c r="K8" s="16"/>
      <c r="L8" s="16"/>
      <c r="M8" s="16"/>
      <c r="N8" s="16"/>
      <c r="O8" s="16"/>
      <c r="P8" s="17">
        <f>SUM(O8:O10)</f>
        <v>15</v>
      </c>
    </row>
    <row r="9" spans="1:16" ht="15" customHeight="1" x14ac:dyDescent="0.25">
      <c r="A9" s="16" t="s">
        <v>56</v>
      </c>
      <c r="B9" s="83" t="s">
        <v>12</v>
      </c>
      <c r="C9" s="84"/>
      <c r="D9" s="84"/>
      <c r="E9" s="84"/>
      <c r="F9" s="85"/>
      <c r="G9" s="16"/>
      <c r="H9" s="17">
        <v>15</v>
      </c>
      <c r="I9" s="17"/>
      <c r="J9" s="17"/>
      <c r="K9" s="17"/>
      <c r="L9" s="17"/>
      <c r="M9" s="17" t="str">
        <f>IF(COUNTA(J9:L9)=2,ROUND(PRODUCT(J9:L9),2),"")</f>
        <v/>
      </c>
      <c r="N9" s="17" t="str">
        <f>IF(OR(COUNTA(J9:L9)=3,AND(COUNTA(J9:L9)=1,M9&lt;&gt;"")),ROUND(PRODUCT(J9:M9),2),"")</f>
        <v/>
      </c>
      <c r="O9" s="17">
        <f>IF(N9&lt;&gt;"",ROUND(PRODUCT(H9,I9,N9),2),IF(M9&lt;&gt;"",ROUND(PRODUCT(H9,I9,M9),2),ROUND(PRODUCT(H9:L9),2)))</f>
        <v>15</v>
      </c>
      <c r="P9" s="17"/>
    </row>
    <row r="10" spans="1:16" ht="15" customHeight="1" x14ac:dyDescent="0.25">
      <c r="A10" s="3"/>
      <c r="B10" s="3"/>
      <c r="C10" s="3"/>
      <c r="D10" s="3"/>
      <c r="E10" s="3"/>
      <c r="F10" s="3"/>
      <c r="G10" s="3"/>
      <c r="H10" s="3"/>
      <c r="I10" s="3"/>
      <c r="J10" s="3"/>
      <c r="K10" s="3"/>
      <c r="L10" s="3"/>
      <c r="M10" s="3"/>
      <c r="N10" s="3"/>
      <c r="O10" s="3"/>
      <c r="P10" s="3"/>
    </row>
    <row r="11" spans="1:16" ht="30" customHeight="1" x14ac:dyDescent="0.25">
      <c r="A11" s="16" t="s">
        <v>36</v>
      </c>
      <c r="B11" s="19">
        <v>90780</v>
      </c>
      <c r="C11" s="83" t="str">
        <f>VLOOKUP(B11,COMPOSICAO!B:K,2,FALSE)</f>
        <v>MESTRE DE OBRAS COM ENCARGOS COMPLEMENTARES</v>
      </c>
      <c r="D11" s="84"/>
      <c r="E11" s="84"/>
      <c r="F11" s="85"/>
      <c r="G11" s="16" t="str">
        <f>VLOOKUP(B11,COMPOSICAO!B:K,6,FALSE)</f>
        <v>H</v>
      </c>
      <c r="H11" s="16"/>
      <c r="I11" s="16"/>
      <c r="J11" s="16"/>
      <c r="K11" s="16"/>
      <c r="L11" s="16"/>
      <c r="M11" s="16"/>
      <c r="N11" s="16"/>
      <c r="O11" s="16"/>
      <c r="P11" s="17">
        <f>SUM(O11:O13)</f>
        <v>30</v>
      </c>
    </row>
    <row r="12" spans="1:16" ht="15" customHeight="1" x14ac:dyDescent="0.25">
      <c r="A12" s="16" t="s">
        <v>57</v>
      </c>
      <c r="B12" s="83" t="s">
        <v>12</v>
      </c>
      <c r="C12" s="84"/>
      <c r="D12" s="84"/>
      <c r="E12" s="84"/>
      <c r="F12" s="85"/>
      <c r="G12" s="16"/>
      <c r="H12" s="17">
        <v>30</v>
      </c>
      <c r="I12" s="17"/>
      <c r="J12" s="17"/>
      <c r="K12" s="17"/>
      <c r="L12" s="17"/>
      <c r="M12" s="17" t="str">
        <f>IF(COUNTA(J12:L12)=2,ROUND(PRODUCT(J12:L12),2),"")</f>
        <v/>
      </c>
      <c r="N12" s="17" t="str">
        <f>IF(OR(COUNTA(J12:L12)=3,AND(COUNTA(J12:L12)=1,M12&lt;&gt;"")),ROUND(PRODUCT(J12:M12),2),"")</f>
        <v/>
      </c>
      <c r="O12" s="17">
        <f>IF(N12&lt;&gt;"",ROUND(PRODUCT(H12,I12,N12),2),IF(M12&lt;&gt;"",ROUND(PRODUCT(H12,I12,M12),2),ROUND(PRODUCT(H12:L12),2)))</f>
        <v>30</v>
      </c>
      <c r="P12" s="17"/>
    </row>
    <row r="13" spans="1:16" ht="15" customHeight="1" x14ac:dyDescent="0.25">
      <c r="A13" s="3"/>
      <c r="B13" s="3"/>
      <c r="C13" s="3"/>
      <c r="D13" s="3"/>
      <c r="E13" s="3"/>
      <c r="F13" s="3"/>
      <c r="G13" s="3"/>
      <c r="H13" s="3"/>
      <c r="I13" s="3"/>
      <c r="J13" s="3"/>
      <c r="K13" s="3"/>
      <c r="L13" s="3"/>
      <c r="M13" s="3"/>
      <c r="N13" s="3"/>
      <c r="O13" s="3"/>
      <c r="P13" s="3"/>
    </row>
    <row r="14" spans="1:16" ht="15" customHeight="1" x14ac:dyDescent="0.25">
      <c r="A14" s="15">
        <v>2</v>
      </c>
      <c r="B14" s="86" t="s">
        <v>58</v>
      </c>
      <c r="C14" s="87"/>
      <c r="D14" s="87"/>
      <c r="E14" s="87"/>
      <c r="F14" s="87"/>
      <c r="G14" s="87"/>
      <c r="H14" s="87"/>
      <c r="I14" s="87"/>
      <c r="J14" s="87"/>
      <c r="K14" s="87"/>
      <c r="L14" s="87"/>
      <c r="M14" s="87"/>
      <c r="N14" s="87"/>
      <c r="O14" s="87"/>
      <c r="P14" s="88"/>
    </row>
    <row r="15" spans="1:16" ht="30" customHeight="1" x14ac:dyDescent="0.25">
      <c r="A15" s="16" t="s">
        <v>37</v>
      </c>
      <c r="B15" s="16" t="s">
        <v>59</v>
      </c>
      <c r="C15" s="83" t="str">
        <f>VLOOKUP(B15,COMPOSICAO!B:K,2,FALSE)</f>
        <v xml:space="preserve">PLACA DE OBRA EM CHAPA DE AÇO GALVANIZADO </v>
      </c>
      <c r="D15" s="84"/>
      <c r="E15" s="84"/>
      <c r="F15" s="85"/>
      <c r="G15" s="16" t="str">
        <f>VLOOKUP(B15,COMPOSICAO!B:K,6,FALSE)</f>
        <v>M²</v>
      </c>
      <c r="H15" s="16"/>
      <c r="I15" s="16"/>
      <c r="J15" s="16"/>
      <c r="K15" s="16"/>
      <c r="L15" s="16"/>
      <c r="M15" s="16"/>
      <c r="N15" s="16"/>
      <c r="O15" s="16"/>
      <c r="P15" s="17">
        <f>SUM(O15:O17)</f>
        <v>1</v>
      </c>
    </row>
    <row r="16" spans="1:16" ht="15" customHeight="1" x14ac:dyDescent="0.25">
      <c r="A16" s="16" t="s">
        <v>60</v>
      </c>
      <c r="B16" s="83" t="s">
        <v>12</v>
      </c>
      <c r="C16" s="84"/>
      <c r="D16" s="84"/>
      <c r="E16" s="84"/>
      <c r="F16" s="85"/>
      <c r="G16" s="16"/>
      <c r="H16" s="17">
        <v>1</v>
      </c>
      <c r="I16" s="17"/>
      <c r="J16" s="17"/>
      <c r="K16" s="17"/>
      <c r="L16" s="17"/>
      <c r="M16" s="17" t="str">
        <f>IF(COUNTA(J16:L16)=2,ROUND(PRODUCT(J16:L16),2),"")</f>
        <v/>
      </c>
      <c r="N16" s="17" t="str">
        <f>IF(OR(COUNTA(J16:L16)=3,AND(COUNTA(J16:L16)=1,M16&lt;&gt;"")),ROUND(PRODUCT(J16:M16),2),"")</f>
        <v/>
      </c>
      <c r="O16" s="17">
        <f>IF(N16&lt;&gt;"",ROUND(PRODUCT(H16,I16,N16),2),IF(M16&lt;&gt;"",ROUND(PRODUCT(H16,I16,M16),2),ROUND(PRODUCT(H16:L16),2)))</f>
        <v>1</v>
      </c>
      <c r="P16" s="17"/>
    </row>
    <row r="17" spans="1:16" ht="15" customHeight="1" x14ac:dyDescent="0.25">
      <c r="A17" s="3"/>
      <c r="B17" s="3"/>
      <c r="C17" s="3"/>
      <c r="D17" s="3"/>
      <c r="E17" s="3"/>
      <c r="F17" s="3"/>
      <c r="G17" s="3"/>
      <c r="H17" s="3"/>
      <c r="I17" s="3"/>
      <c r="J17" s="3"/>
      <c r="K17" s="3"/>
      <c r="L17" s="3"/>
      <c r="M17" s="3"/>
      <c r="N17" s="3"/>
      <c r="O17" s="3"/>
      <c r="P17" s="3"/>
    </row>
    <row r="18" spans="1:16" ht="15" customHeight="1" x14ac:dyDescent="0.25">
      <c r="A18" s="15">
        <v>3</v>
      </c>
      <c r="B18" s="86" t="s">
        <v>61</v>
      </c>
      <c r="C18" s="87"/>
      <c r="D18" s="87"/>
      <c r="E18" s="87"/>
      <c r="F18" s="87"/>
      <c r="G18" s="87"/>
      <c r="H18" s="87"/>
      <c r="I18" s="87"/>
      <c r="J18" s="87"/>
      <c r="K18" s="87"/>
      <c r="L18" s="87"/>
      <c r="M18" s="87"/>
      <c r="N18" s="87"/>
      <c r="O18" s="87"/>
      <c r="P18" s="88"/>
    </row>
    <row r="19" spans="1:16" ht="30" customHeight="1" x14ac:dyDescent="0.25">
      <c r="A19" s="16" t="s">
        <v>38</v>
      </c>
      <c r="B19" s="19">
        <v>97663</v>
      </c>
      <c r="C19" s="83" t="str">
        <f>VLOOKUP(B19,COMPOSICAO!B:K,2,FALSE)</f>
        <v>REMOÇÃO DE LOUÇAS, DE FORMA MANUAL, SEM REAPROVEITAMENTO. AF_12/2017</v>
      </c>
      <c r="D19" s="84"/>
      <c r="E19" s="84"/>
      <c r="F19" s="85"/>
      <c r="G19" s="16" t="str">
        <f>VLOOKUP(B19,COMPOSICAO!B:K,6,FALSE)</f>
        <v>UN</v>
      </c>
      <c r="H19" s="16"/>
      <c r="I19" s="16"/>
      <c r="J19" s="16"/>
      <c r="K19" s="16"/>
      <c r="L19" s="16"/>
      <c r="M19" s="16"/>
      <c r="N19" s="16"/>
      <c r="O19" s="16"/>
      <c r="P19" s="17">
        <f>SUM(O19:O22)</f>
        <v>4</v>
      </c>
    </row>
    <row r="20" spans="1:16" ht="15" customHeight="1" x14ac:dyDescent="0.25">
      <c r="A20" s="16" t="s">
        <v>62</v>
      </c>
      <c r="B20" s="83" t="s">
        <v>63</v>
      </c>
      <c r="C20" s="84"/>
      <c r="D20" s="84"/>
      <c r="E20" s="84"/>
      <c r="F20" s="85"/>
      <c r="G20" s="16"/>
      <c r="H20" s="17">
        <v>3</v>
      </c>
      <c r="I20" s="17"/>
      <c r="J20" s="17"/>
      <c r="K20" s="17"/>
      <c r="L20" s="17"/>
      <c r="M20" s="17" t="str">
        <f>IF(COUNTA(J20:L20)=2,ROUND(PRODUCT(J20:L20),2),"")</f>
        <v/>
      </c>
      <c r="N20" s="17" t="str">
        <f>IF(OR(COUNTA(J20:L20)=3,AND(COUNTA(J20:L20)=1,M20&lt;&gt;"")),ROUND(PRODUCT(J20:M20),2),"")</f>
        <v/>
      </c>
      <c r="O20" s="17">
        <f>IF(N20&lt;&gt;"",ROUND(PRODUCT(H20,I20,N20),2),IF(M20&lt;&gt;"",ROUND(PRODUCT(H20,I20,M20),2),ROUND(PRODUCT(H20:L20),2)))</f>
        <v>3</v>
      </c>
      <c r="P20" s="17"/>
    </row>
    <row r="21" spans="1:16" ht="15" customHeight="1" x14ac:dyDescent="0.25">
      <c r="A21" s="16" t="s">
        <v>64</v>
      </c>
      <c r="B21" s="83" t="s">
        <v>65</v>
      </c>
      <c r="C21" s="84"/>
      <c r="D21" s="84"/>
      <c r="E21" s="84"/>
      <c r="F21" s="85"/>
      <c r="G21" s="16"/>
      <c r="H21" s="17">
        <v>1</v>
      </c>
      <c r="I21" s="17"/>
      <c r="J21" s="17"/>
      <c r="K21" s="17"/>
      <c r="L21" s="17"/>
      <c r="M21" s="17" t="str">
        <f>IF(COUNTA(J21:L21)=2,ROUND(PRODUCT(J21:L21),2),"")</f>
        <v/>
      </c>
      <c r="N21" s="17" t="str">
        <f>IF(OR(COUNTA(J21:L21)=3,AND(COUNTA(J21:L21)=1,M21&lt;&gt;"")),ROUND(PRODUCT(J21:M21),2),"")</f>
        <v/>
      </c>
      <c r="O21" s="17">
        <f>IF(N21&lt;&gt;"",ROUND(PRODUCT(H21,I21,N21),2),IF(M21&lt;&gt;"",ROUND(PRODUCT(H21,I21,M21),2),ROUND(PRODUCT(H21:L21),2)))</f>
        <v>1</v>
      </c>
      <c r="P21" s="17"/>
    </row>
    <row r="22" spans="1:16" ht="15" customHeight="1" x14ac:dyDescent="0.25">
      <c r="A22" s="3"/>
      <c r="B22" s="3"/>
      <c r="C22" s="3"/>
      <c r="D22" s="3"/>
      <c r="E22" s="3"/>
      <c r="F22" s="3"/>
      <c r="G22" s="3"/>
      <c r="H22" s="3"/>
      <c r="I22" s="3"/>
      <c r="J22" s="3"/>
      <c r="K22" s="3"/>
      <c r="L22" s="3"/>
      <c r="M22" s="3"/>
      <c r="N22" s="3"/>
      <c r="O22" s="3"/>
      <c r="P22" s="3"/>
    </row>
    <row r="23" spans="1:16" ht="45" customHeight="1" x14ac:dyDescent="0.25">
      <c r="A23" s="16" t="s">
        <v>39</v>
      </c>
      <c r="B23" s="19">
        <v>97640</v>
      </c>
      <c r="C23" s="83" t="str">
        <f>VLOOKUP(B23,COMPOSICAO!B:K,2,FALSE)</f>
        <v>REMOÇÃO DE FORROS DE DRYWALL, PVC E FIBROMINERAL, DE FORMA MANUAL, SEM REAPROVEITAMENTO. AF_12/2017</v>
      </c>
      <c r="D23" s="84"/>
      <c r="E23" s="84"/>
      <c r="F23" s="85"/>
      <c r="G23" s="16" t="str">
        <f>VLOOKUP(B23,COMPOSICAO!B:K,6,FALSE)</f>
        <v>M2</v>
      </c>
      <c r="H23" s="16"/>
      <c r="I23" s="16"/>
      <c r="J23" s="16"/>
      <c r="K23" s="16"/>
      <c r="L23" s="16"/>
      <c r="M23" s="16"/>
      <c r="N23" s="16"/>
      <c r="O23" s="16"/>
      <c r="P23" s="17">
        <f>SUM(O23:O25)</f>
        <v>854.95</v>
      </c>
    </row>
    <row r="24" spans="1:16" ht="15" customHeight="1" x14ac:dyDescent="0.25">
      <c r="A24" s="16" t="s">
        <v>66</v>
      </c>
      <c r="B24" s="83" t="s">
        <v>67</v>
      </c>
      <c r="C24" s="84"/>
      <c r="D24" s="84"/>
      <c r="E24" s="84"/>
      <c r="F24" s="85"/>
      <c r="G24" s="16"/>
      <c r="H24" s="17"/>
      <c r="I24" s="17"/>
      <c r="J24" s="17"/>
      <c r="K24" s="17"/>
      <c r="L24" s="17"/>
      <c r="M24" s="17">
        <v>854.95</v>
      </c>
      <c r="N24" s="17" t="str">
        <f>IF(OR(COUNTA(J24:L24)=3,AND(COUNTA(J24:L24)=1,M24&lt;&gt;"")),ROUND(PRODUCT(J24:M24),2),"")</f>
        <v/>
      </c>
      <c r="O24" s="17">
        <f>IF(N24&lt;&gt;"",ROUND(PRODUCT(H24,I24,N24),2),IF(M24&lt;&gt;"",ROUND(PRODUCT(H24,I24,M24),2),ROUND(PRODUCT(H24:L24),2)))</f>
        <v>854.95</v>
      </c>
      <c r="P24" s="17"/>
    </row>
    <row r="25" spans="1:16" ht="15" customHeight="1" x14ac:dyDescent="0.25">
      <c r="A25" s="3"/>
      <c r="B25" s="3"/>
      <c r="C25" s="3"/>
      <c r="D25" s="3"/>
      <c r="E25" s="3"/>
      <c r="F25" s="3"/>
      <c r="G25" s="3"/>
      <c r="H25" s="3"/>
      <c r="I25" s="3"/>
      <c r="J25" s="3"/>
      <c r="K25" s="3"/>
      <c r="L25" s="3"/>
      <c r="M25" s="3"/>
      <c r="N25" s="3"/>
      <c r="O25" s="3"/>
      <c r="P25" s="3"/>
    </row>
    <row r="26" spans="1:16" ht="45" customHeight="1" x14ac:dyDescent="0.25">
      <c r="A26" s="16" t="s">
        <v>40</v>
      </c>
      <c r="B26" s="16" t="s">
        <v>68</v>
      </c>
      <c r="C26" s="83" t="str">
        <f>VLOOKUP(B26,COMPOSICAO!B:K,2,FALSE)</f>
        <v>REMOÇÃO DE PINTURA LÁTEX (RASPAGEM E/OU LIXAMENTO E/OU ESCOVAÇÃO (REF. SEINFRA C4913)</v>
      </c>
      <c r="D26" s="84"/>
      <c r="E26" s="84"/>
      <c r="F26" s="85"/>
      <c r="G26" s="16" t="str">
        <f>VLOOKUP(B26,COMPOSICAO!B:K,6,FALSE)</f>
        <v>M²</v>
      </c>
      <c r="H26" s="16"/>
      <c r="I26" s="16"/>
      <c r="J26" s="16"/>
      <c r="K26" s="16"/>
      <c r="L26" s="16"/>
      <c r="M26" s="16"/>
      <c r="N26" s="16"/>
      <c r="O26" s="16"/>
      <c r="P26" s="17">
        <f>SUM(O26:O38)</f>
        <v>953.69</v>
      </c>
    </row>
    <row r="27" spans="1:16" ht="15" customHeight="1" x14ac:dyDescent="0.25">
      <c r="A27" s="16" t="s">
        <v>69</v>
      </c>
      <c r="B27" s="83" t="s">
        <v>70</v>
      </c>
      <c r="C27" s="84"/>
      <c r="D27" s="84"/>
      <c r="E27" s="84"/>
      <c r="F27" s="85"/>
      <c r="G27" s="16"/>
      <c r="H27" s="17"/>
      <c r="I27" s="17"/>
      <c r="J27" s="17">
        <v>124.01</v>
      </c>
      <c r="K27" s="17"/>
      <c r="L27" s="17">
        <v>3</v>
      </c>
      <c r="M27" s="17">
        <f t="shared" ref="M27:M37" si="0">IF(COUNTA(J27:L27)=2,ROUND(PRODUCT(J27:L27),2),"")</f>
        <v>372.03</v>
      </c>
      <c r="N27" s="17" t="str">
        <f t="shared" ref="N27:N37" si="1">IF(OR(COUNTA(J27:L27)=3,AND(COUNTA(J27:L27)=1,M27&lt;&gt;"")),ROUND(PRODUCT(J27:M27),2),"")</f>
        <v/>
      </c>
      <c r="O27" s="17">
        <f t="shared" ref="O27:O37" si="2">IF(N27&lt;&gt;"",ROUND(PRODUCT(H27,I27,N27),2),IF(M27&lt;&gt;"",ROUND(PRODUCT(H27,I27,M27),2),ROUND(PRODUCT(H27:L27),2)))</f>
        <v>372.03</v>
      </c>
      <c r="P27" s="17"/>
    </row>
    <row r="28" spans="1:16" ht="15" customHeight="1" x14ac:dyDescent="0.25">
      <c r="A28" s="16" t="s">
        <v>71</v>
      </c>
      <c r="B28" s="83" t="s">
        <v>72</v>
      </c>
      <c r="C28" s="84"/>
      <c r="D28" s="84"/>
      <c r="E28" s="84"/>
      <c r="F28" s="85"/>
      <c r="G28" s="16"/>
      <c r="H28" s="17"/>
      <c r="I28" s="17"/>
      <c r="J28" s="17">
        <v>113</v>
      </c>
      <c r="K28" s="17"/>
      <c r="L28" s="17">
        <v>6</v>
      </c>
      <c r="M28" s="17">
        <f t="shared" si="0"/>
        <v>678</v>
      </c>
      <c r="N28" s="17" t="str">
        <f t="shared" si="1"/>
        <v/>
      </c>
      <c r="O28" s="17">
        <f t="shared" si="2"/>
        <v>678</v>
      </c>
      <c r="P28" s="17"/>
    </row>
    <row r="29" spans="1:16" ht="15" customHeight="1" x14ac:dyDescent="0.25">
      <c r="A29" s="16" t="s">
        <v>73</v>
      </c>
      <c r="B29" s="83" t="s">
        <v>74</v>
      </c>
      <c r="C29" s="84"/>
      <c r="D29" s="84"/>
      <c r="E29" s="84"/>
      <c r="F29" s="85"/>
      <c r="G29" s="16"/>
      <c r="H29" s="17">
        <v>-2</v>
      </c>
      <c r="I29" s="17"/>
      <c r="J29" s="17"/>
      <c r="K29" s="17">
        <v>2.9</v>
      </c>
      <c r="L29" s="17">
        <v>0.4</v>
      </c>
      <c r="M29" s="17">
        <f t="shared" si="0"/>
        <v>1.1599999999999999</v>
      </c>
      <c r="N29" s="17" t="str">
        <f t="shared" si="1"/>
        <v/>
      </c>
      <c r="O29" s="17">
        <f t="shared" si="2"/>
        <v>-2.3199999999999998</v>
      </c>
      <c r="P29" s="17"/>
    </row>
    <row r="30" spans="1:16" ht="15" customHeight="1" x14ac:dyDescent="0.25">
      <c r="A30" s="16" t="s">
        <v>75</v>
      </c>
      <c r="B30" s="83" t="s">
        <v>76</v>
      </c>
      <c r="C30" s="84"/>
      <c r="D30" s="84"/>
      <c r="E30" s="84"/>
      <c r="F30" s="85"/>
      <c r="G30" s="16"/>
      <c r="H30" s="17">
        <v>-2</v>
      </c>
      <c r="I30" s="17">
        <v>2</v>
      </c>
      <c r="J30" s="17"/>
      <c r="K30" s="17">
        <v>6.45</v>
      </c>
      <c r="L30" s="17">
        <v>0.6</v>
      </c>
      <c r="M30" s="17">
        <f t="shared" si="0"/>
        <v>3.87</v>
      </c>
      <c r="N30" s="17" t="str">
        <f t="shared" si="1"/>
        <v/>
      </c>
      <c r="O30" s="17">
        <f t="shared" si="2"/>
        <v>-15.48</v>
      </c>
      <c r="P30" s="17"/>
    </row>
    <row r="31" spans="1:16" ht="15" customHeight="1" x14ac:dyDescent="0.25">
      <c r="A31" s="16" t="s">
        <v>77</v>
      </c>
      <c r="B31" s="83" t="s">
        <v>78</v>
      </c>
      <c r="C31" s="84"/>
      <c r="D31" s="84"/>
      <c r="E31" s="84"/>
      <c r="F31" s="85"/>
      <c r="G31" s="16"/>
      <c r="H31" s="17">
        <v>-4</v>
      </c>
      <c r="I31" s="17">
        <v>2</v>
      </c>
      <c r="J31" s="17"/>
      <c r="K31" s="17">
        <v>5.35</v>
      </c>
      <c r="L31" s="17">
        <v>0.6</v>
      </c>
      <c r="M31" s="17">
        <f t="shared" si="0"/>
        <v>3.21</v>
      </c>
      <c r="N31" s="17" t="str">
        <f t="shared" si="1"/>
        <v/>
      </c>
      <c r="O31" s="17">
        <f t="shared" si="2"/>
        <v>-25.68</v>
      </c>
      <c r="P31" s="17"/>
    </row>
    <row r="32" spans="1:16" ht="15" customHeight="1" x14ac:dyDescent="0.25">
      <c r="A32" s="16" t="s">
        <v>79</v>
      </c>
      <c r="B32" s="83" t="s">
        <v>80</v>
      </c>
      <c r="C32" s="84"/>
      <c r="D32" s="84"/>
      <c r="E32" s="84"/>
      <c r="F32" s="85"/>
      <c r="G32" s="16"/>
      <c r="H32" s="17">
        <v>-4</v>
      </c>
      <c r="I32" s="17">
        <v>2</v>
      </c>
      <c r="J32" s="17"/>
      <c r="K32" s="17">
        <v>4.6500000000000004</v>
      </c>
      <c r="L32" s="17">
        <v>0.6</v>
      </c>
      <c r="M32" s="17">
        <f t="shared" si="0"/>
        <v>2.79</v>
      </c>
      <c r="N32" s="17" t="str">
        <f t="shared" si="1"/>
        <v/>
      </c>
      <c r="O32" s="17">
        <f t="shared" si="2"/>
        <v>-22.32</v>
      </c>
      <c r="P32" s="17"/>
    </row>
    <row r="33" spans="1:16" ht="15" customHeight="1" x14ac:dyDescent="0.25">
      <c r="A33" s="16" t="s">
        <v>81</v>
      </c>
      <c r="B33" s="83" t="s">
        <v>82</v>
      </c>
      <c r="C33" s="84"/>
      <c r="D33" s="84"/>
      <c r="E33" s="84"/>
      <c r="F33" s="85"/>
      <c r="G33" s="16"/>
      <c r="H33" s="17">
        <v>-1</v>
      </c>
      <c r="I33" s="17"/>
      <c r="J33" s="17"/>
      <c r="K33" s="17">
        <v>2</v>
      </c>
      <c r="L33" s="17">
        <v>0.4</v>
      </c>
      <c r="M33" s="17">
        <f t="shared" si="0"/>
        <v>0.8</v>
      </c>
      <c r="N33" s="17" t="str">
        <f t="shared" si="1"/>
        <v/>
      </c>
      <c r="O33" s="17">
        <f t="shared" si="2"/>
        <v>-0.8</v>
      </c>
      <c r="P33" s="17"/>
    </row>
    <row r="34" spans="1:16" ht="15" customHeight="1" x14ac:dyDescent="0.25">
      <c r="A34" s="16" t="s">
        <v>83</v>
      </c>
      <c r="B34" s="83" t="s">
        <v>84</v>
      </c>
      <c r="C34" s="84"/>
      <c r="D34" s="84"/>
      <c r="E34" s="84"/>
      <c r="F34" s="85"/>
      <c r="G34" s="16"/>
      <c r="H34" s="17">
        <v>-1</v>
      </c>
      <c r="I34" s="17">
        <v>2</v>
      </c>
      <c r="J34" s="17"/>
      <c r="K34" s="17">
        <v>0.95</v>
      </c>
      <c r="L34" s="17">
        <v>0.4</v>
      </c>
      <c r="M34" s="17">
        <f t="shared" si="0"/>
        <v>0.38</v>
      </c>
      <c r="N34" s="17" t="str">
        <f t="shared" si="1"/>
        <v/>
      </c>
      <c r="O34" s="17">
        <f t="shared" si="2"/>
        <v>-0.76</v>
      </c>
      <c r="P34" s="17"/>
    </row>
    <row r="35" spans="1:16" ht="15" customHeight="1" x14ac:dyDescent="0.25">
      <c r="A35" s="16" t="s">
        <v>85</v>
      </c>
      <c r="B35" s="83" t="s">
        <v>86</v>
      </c>
      <c r="C35" s="84"/>
      <c r="D35" s="84"/>
      <c r="E35" s="84"/>
      <c r="F35" s="85"/>
      <c r="G35" s="16"/>
      <c r="H35" s="17">
        <v>-4</v>
      </c>
      <c r="I35" s="17"/>
      <c r="J35" s="17"/>
      <c r="K35" s="17">
        <v>0.8</v>
      </c>
      <c r="L35" s="17">
        <v>2.1</v>
      </c>
      <c r="M35" s="17">
        <f t="shared" si="0"/>
        <v>1.68</v>
      </c>
      <c r="N35" s="17" t="str">
        <f t="shared" si="1"/>
        <v/>
      </c>
      <c r="O35" s="17">
        <f t="shared" si="2"/>
        <v>-6.72</v>
      </c>
      <c r="P35" s="17"/>
    </row>
    <row r="36" spans="1:16" ht="15" customHeight="1" x14ac:dyDescent="0.25">
      <c r="A36" s="16" t="s">
        <v>87</v>
      </c>
      <c r="B36" s="83" t="s">
        <v>88</v>
      </c>
      <c r="C36" s="84"/>
      <c r="D36" s="84"/>
      <c r="E36" s="84"/>
      <c r="F36" s="85"/>
      <c r="G36" s="16"/>
      <c r="H36" s="17">
        <v>-2</v>
      </c>
      <c r="I36" s="17"/>
      <c r="J36" s="17"/>
      <c r="K36" s="17">
        <v>0.9</v>
      </c>
      <c r="L36" s="17">
        <v>2.1</v>
      </c>
      <c r="M36" s="17">
        <f t="shared" si="0"/>
        <v>1.89</v>
      </c>
      <c r="N36" s="17" t="str">
        <f t="shared" si="1"/>
        <v/>
      </c>
      <c r="O36" s="17">
        <f t="shared" si="2"/>
        <v>-3.78</v>
      </c>
      <c r="P36" s="17"/>
    </row>
    <row r="37" spans="1:16" ht="15" customHeight="1" x14ac:dyDescent="0.25">
      <c r="A37" s="16" t="s">
        <v>89</v>
      </c>
      <c r="B37" s="83" t="s">
        <v>90</v>
      </c>
      <c r="C37" s="84"/>
      <c r="D37" s="84"/>
      <c r="E37" s="84"/>
      <c r="F37" s="85"/>
      <c r="G37" s="16"/>
      <c r="H37" s="17">
        <v>-1</v>
      </c>
      <c r="I37" s="17">
        <v>2</v>
      </c>
      <c r="J37" s="17"/>
      <c r="K37" s="17">
        <v>4.4000000000000004</v>
      </c>
      <c r="L37" s="17">
        <v>2.1</v>
      </c>
      <c r="M37" s="17">
        <f t="shared" si="0"/>
        <v>9.24</v>
      </c>
      <c r="N37" s="17" t="str">
        <f t="shared" si="1"/>
        <v/>
      </c>
      <c r="O37" s="17">
        <f t="shared" si="2"/>
        <v>-18.48</v>
      </c>
      <c r="P37" s="17"/>
    </row>
    <row r="38" spans="1:16" ht="15" customHeight="1" x14ac:dyDescent="0.25">
      <c r="A38" s="3"/>
      <c r="B38" s="3"/>
      <c r="C38" s="3"/>
      <c r="D38" s="3"/>
      <c r="E38" s="3"/>
      <c r="F38" s="3"/>
      <c r="G38" s="3"/>
      <c r="H38" s="3"/>
      <c r="I38" s="3"/>
      <c r="J38" s="3"/>
      <c r="K38" s="3"/>
      <c r="L38" s="3"/>
      <c r="M38" s="3"/>
      <c r="N38" s="3"/>
      <c r="O38" s="3"/>
      <c r="P38" s="3"/>
    </row>
    <row r="39" spans="1:16" ht="15" customHeight="1" x14ac:dyDescent="0.25">
      <c r="A39" s="15">
        <v>4</v>
      </c>
      <c r="B39" s="86" t="s">
        <v>91</v>
      </c>
      <c r="C39" s="87"/>
      <c r="D39" s="87"/>
      <c r="E39" s="87"/>
      <c r="F39" s="87"/>
      <c r="G39" s="87"/>
      <c r="H39" s="87"/>
      <c r="I39" s="87"/>
      <c r="J39" s="87"/>
      <c r="K39" s="87"/>
      <c r="L39" s="87"/>
      <c r="M39" s="87"/>
      <c r="N39" s="87"/>
      <c r="O39" s="87"/>
      <c r="P39" s="88"/>
    </row>
    <row r="40" spans="1:16" ht="45" customHeight="1" x14ac:dyDescent="0.25">
      <c r="A40" s="16" t="s">
        <v>41</v>
      </c>
      <c r="B40" s="19">
        <v>94213</v>
      </c>
      <c r="C40" s="83" t="str">
        <f>VLOOKUP(B40,COMPOSICAO!B:K,2,FALSE)</f>
        <v>TELHAMENTO COM TELHA DE AÇO/ALUMÍNIO E = 0,5 MM, COM ATÉ 2 ÁGUAS, INCLUSO IÇAMENTO. AF_07/2019</v>
      </c>
      <c r="D40" s="84"/>
      <c r="E40" s="84"/>
      <c r="F40" s="85"/>
      <c r="G40" s="16" t="str">
        <f>VLOOKUP(B40,COMPOSICAO!B:K,6,FALSE)</f>
        <v>M2</v>
      </c>
      <c r="H40" s="16"/>
      <c r="I40" s="16"/>
      <c r="J40" s="16"/>
      <c r="K40" s="16"/>
      <c r="L40" s="16"/>
      <c r="M40" s="16"/>
      <c r="N40" s="16"/>
      <c r="O40" s="16"/>
      <c r="P40" s="17">
        <f>SUM(O40:O42)</f>
        <v>256.2</v>
      </c>
    </row>
    <row r="41" spans="1:16" ht="15" customHeight="1" x14ac:dyDescent="0.25">
      <c r="A41" s="16" t="s">
        <v>92</v>
      </c>
      <c r="B41" s="83" t="s">
        <v>93</v>
      </c>
      <c r="C41" s="84"/>
      <c r="D41" s="84"/>
      <c r="E41" s="84"/>
      <c r="F41" s="85"/>
      <c r="G41" s="16"/>
      <c r="H41" s="17"/>
      <c r="I41" s="17">
        <v>0.3</v>
      </c>
      <c r="J41" s="17"/>
      <c r="K41" s="17"/>
      <c r="L41" s="17"/>
      <c r="M41" s="17">
        <v>854</v>
      </c>
      <c r="N41" s="17" t="str">
        <f>IF(OR(COUNTA(J41:L41)=3,AND(COUNTA(J41:L41)=1,M41&lt;&gt;"")),ROUND(PRODUCT(J41:M41),2),"")</f>
        <v/>
      </c>
      <c r="O41" s="17">
        <f>IF(N41&lt;&gt;"",ROUND(PRODUCT(H41,I41,N41),2),IF(M41&lt;&gt;"",ROUND(PRODUCT(H41,I41,M41),2),ROUND(PRODUCT(H41:L41),2)))</f>
        <v>256.2</v>
      </c>
      <c r="P41" s="17"/>
    </row>
    <row r="42" spans="1:16" ht="15" customHeight="1" x14ac:dyDescent="0.25">
      <c r="A42" s="3"/>
      <c r="B42" s="3"/>
      <c r="C42" s="3"/>
      <c r="D42" s="3"/>
      <c r="E42" s="3"/>
      <c r="F42" s="3"/>
      <c r="G42" s="3"/>
      <c r="H42" s="3"/>
      <c r="I42" s="3"/>
      <c r="J42" s="3"/>
      <c r="K42" s="3"/>
      <c r="L42" s="3"/>
      <c r="M42" s="3"/>
      <c r="N42" s="3"/>
      <c r="O42" s="3"/>
      <c r="P42" s="3"/>
    </row>
    <row r="43" spans="1:16" ht="15" customHeight="1" x14ac:dyDescent="0.25">
      <c r="A43" s="15">
        <v>5</v>
      </c>
      <c r="B43" s="86" t="s">
        <v>94</v>
      </c>
      <c r="C43" s="87"/>
      <c r="D43" s="87"/>
      <c r="E43" s="87"/>
      <c r="F43" s="87"/>
      <c r="G43" s="87"/>
      <c r="H43" s="87"/>
      <c r="I43" s="87"/>
      <c r="J43" s="87"/>
      <c r="K43" s="87"/>
      <c r="L43" s="87"/>
      <c r="M43" s="87"/>
      <c r="N43" s="87"/>
      <c r="O43" s="87"/>
      <c r="P43" s="88"/>
    </row>
    <row r="44" spans="1:16" ht="45" customHeight="1" x14ac:dyDescent="0.25">
      <c r="A44" s="16" t="s">
        <v>42</v>
      </c>
      <c r="B44" s="19">
        <v>88489</v>
      </c>
      <c r="C44" s="83" t="str">
        <f>VLOOKUP(B44,COMPOSICAO!B:K,2,FALSE)</f>
        <v>APLICAÇÃO MANUAL DE PINTURA COM TINTA LÁTEX ACRÍLICA EM PAREDES, DUAS DEMÃOS. AF_06/2014</v>
      </c>
      <c r="D44" s="84"/>
      <c r="E44" s="84"/>
      <c r="F44" s="85"/>
      <c r="G44" s="16" t="str">
        <f>VLOOKUP(B44,COMPOSICAO!B:K,6,FALSE)</f>
        <v>M2</v>
      </c>
      <c r="H44" s="16"/>
      <c r="I44" s="16"/>
      <c r="J44" s="16"/>
      <c r="K44" s="16"/>
      <c r="L44" s="16"/>
      <c r="M44" s="16"/>
      <c r="N44" s="16"/>
      <c r="O44" s="16"/>
      <c r="P44" s="17">
        <f>SUM(O44:O46)</f>
        <v>953.69</v>
      </c>
    </row>
    <row r="45" spans="1:16" ht="15" customHeight="1" x14ac:dyDescent="0.25">
      <c r="A45" s="16" t="s">
        <v>95</v>
      </c>
      <c r="B45" s="83" t="s">
        <v>96</v>
      </c>
      <c r="C45" s="84"/>
      <c r="D45" s="84"/>
      <c r="E45" s="84"/>
      <c r="F45" s="85"/>
      <c r="G45" s="16"/>
      <c r="H45" s="17"/>
      <c r="I45" s="17"/>
      <c r="J45" s="17"/>
      <c r="K45" s="17"/>
      <c r="L45" s="17"/>
      <c r="M45" s="17">
        <v>953.69</v>
      </c>
      <c r="N45" s="17" t="str">
        <f>IF(OR(COUNTA(J45:L45)=3,AND(COUNTA(J45:L45)=1,M45&lt;&gt;"")),ROUND(PRODUCT(J45:M45),2),"")</f>
        <v/>
      </c>
      <c r="O45" s="17">
        <f>IF(N45&lt;&gt;"",ROUND(PRODUCT(H45,I45,N45),2),IF(M45&lt;&gt;"",ROUND(PRODUCT(H45,I45,M45),2),ROUND(PRODUCT(H45:L45),2)))</f>
        <v>953.69</v>
      </c>
      <c r="P45" s="17"/>
    </row>
    <row r="46" spans="1:16" ht="15" customHeight="1" x14ac:dyDescent="0.25">
      <c r="A46" s="3"/>
      <c r="B46" s="3"/>
      <c r="C46" s="3"/>
      <c r="D46" s="3"/>
      <c r="E46" s="3"/>
      <c r="F46" s="3"/>
      <c r="G46" s="3"/>
      <c r="H46" s="3"/>
      <c r="I46" s="3"/>
      <c r="J46" s="3"/>
      <c r="K46" s="3"/>
      <c r="L46" s="3"/>
      <c r="M46" s="3"/>
      <c r="N46" s="3"/>
      <c r="O46" s="3"/>
      <c r="P46" s="3"/>
    </row>
    <row r="47" spans="1:16" ht="15" customHeight="1" x14ac:dyDescent="0.25">
      <c r="A47" s="15">
        <v>6</v>
      </c>
      <c r="B47" s="86" t="s">
        <v>97</v>
      </c>
      <c r="C47" s="87"/>
      <c r="D47" s="87"/>
      <c r="E47" s="87"/>
      <c r="F47" s="87"/>
      <c r="G47" s="87"/>
      <c r="H47" s="87"/>
      <c r="I47" s="87"/>
      <c r="J47" s="87"/>
      <c r="K47" s="87"/>
      <c r="L47" s="87"/>
      <c r="M47" s="87"/>
      <c r="N47" s="87"/>
      <c r="O47" s="87"/>
      <c r="P47" s="88"/>
    </row>
    <row r="48" spans="1:16" ht="60" customHeight="1" x14ac:dyDescent="0.25">
      <c r="A48" s="16" t="s">
        <v>43</v>
      </c>
      <c r="B48" s="16" t="s">
        <v>98</v>
      </c>
      <c r="C48" s="83" t="str">
        <f>VLOOKUP(B48,COMPOSICAO!B:K,2,FALSE)</f>
        <v>LUMINÁRIAS TIPO CALHA, DE SOBREPOR, COM REATORES DE PARTIDA RÁPIDA E LÂMPADAS FLUORESCENTES 2X2X18W, COMPLETAS, FORNECIMENTO E INSTALAÇÃO</v>
      </c>
      <c r="D48" s="84"/>
      <c r="E48" s="84"/>
      <c r="F48" s="85"/>
      <c r="G48" s="16" t="str">
        <f>VLOOKUP(B48,COMPOSICAO!B:K,6,FALSE)</f>
        <v>UN</v>
      </c>
      <c r="H48" s="16"/>
      <c r="I48" s="16"/>
      <c r="J48" s="16"/>
      <c r="K48" s="16"/>
      <c r="L48" s="16"/>
      <c r="M48" s="16"/>
      <c r="N48" s="16"/>
      <c r="O48" s="16"/>
      <c r="P48" s="17">
        <f>SUM(O48:O50)</f>
        <v>50</v>
      </c>
    </row>
    <row r="49" spans="1:16" ht="15" customHeight="1" x14ac:dyDescent="0.25">
      <c r="A49" s="16" t="s">
        <v>99</v>
      </c>
      <c r="B49" s="83" t="s">
        <v>100</v>
      </c>
      <c r="C49" s="84"/>
      <c r="D49" s="84"/>
      <c r="E49" s="84"/>
      <c r="F49" s="85"/>
      <c r="G49" s="16"/>
      <c r="H49" s="17">
        <v>50</v>
      </c>
      <c r="I49" s="17"/>
      <c r="J49" s="17"/>
      <c r="K49" s="17"/>
      <c r="L49" s="17"/>
      <c r="M49" s="17" t="str">
        <f>IF(COUNTA(J49:L49)=2,ROUND(PRODUCT(J49:L49),2),"")</f>
        <v/>
      </c>
      <c r="N49" s="17" t="str">
        <f>IF(OR(COUNTA(J49:L49)=3,AND(COUNTA(J49:L49)=1,M49&lt;&gt;"")),ROUND(PRODUCT(J49:M49),2),"")</f>
        <v/>
      </c>
      <c r="O49" s="17">
        <f>IF(N49&lt;&gt;"",ROUND(PRODUCT(H49,I49,N49),2),IF(M49&lt;&gt;"",ROUND(PRODUCT(H49,I49,M49),2),ROUND(PRODUCT(H49:L49),2)))</f>
        <v>50</v>
      </c>
      <c r="P49" s="17"/>
    </row>
    <row r="50" spans="1:16" ht="15" customHeight="1" x14ac:dyDescent="0.25">
      <c r="A50" s="3"/>
      <c r="B50" s="3"/>
      <c r="C50" s="3"/>
      <c r="D50" s="3"/>
      <c r="E50" s="3"/>
      <c r="F50" s="3"/>
      <c r="G50" s="3"/>
      <c r="H50" s="3"/>
      <c r="I50" s="3"/>
      <c r="J50" s="3"/>
      <c r="K50" s="3"/>
      <c r="L50" s="3"/>
      <c r="M50" s="3"/>
      <c r="N50" s="3"/>
      <c r="O50" s="3"/>
      <c r="P50" s="3"/>
    </row>
    <row r="51" spans="1:16" ht="15" customHeight="1" x14ac:dyDescent="0.25">
      <c r="A51" s="15">
        <v>7</v>
      </c>
      <c r="B51" s="86" t="s">
        <v>101</v>
      </c>
      <c r="C51" s="87"/>
      <c r="D51" s="87"/>
      <c r="E51" s="87"/>
      <c r="F51" s="87"/>
      <c r="G51" s="87"/>
      <c r="H51" s="87"/>
      <c r="I51" s="87"/>
      <c r="J51" s="87"/>
      <c r="K51" s="87"/>
      <c r="L51" s="87"/>
      <c r="M51" s="87"/>
      <c r="N51" s="87"/>
      <c r="O51" s="87"/>
      <c r="P51" s="88"/>
    </row>
    <row r="52" spans="1:16" ht="75" customHeight="1" x14ac:dyDescent="0.25">
      <c r="A52" s="16" t="s">
        <v>44</v>
      </c>
      <c r="B52" s="19">
        <v>89957</v>
      </c>
      <c r="C52" s="83" t="str">
        <f>VLOOKUP(B52,COMPOSICAO!B:K,2,FALSE)</f>
        <v>PONTO DE CONSUMO TERMINAL DE ÁGUA FRIA (SUBRAMAL) COM TUBULAÇÃO DE PVC, DN 25 MM, INSTALADO EM RAMAL DE ÁGUA, INCLUSOS RASGO E CHUMBAMENTO EM ALVENARIA. AF_12/2014</v>
      </c>
      <c r="D52" s="84"/>
      <c r="E52" s="84"/>
      <c r="F52" s="85"/>
      <c r="G52" s="16" t="str">
        <f>VLOOKUP(B52,COMPOSICAO!B:K,6,FALSE)</f>
        <v>UN</v>
      </c>
      <c r="H52" s="16"/>
      <c r="I52" s="16"/>
      <c r="J52" s="16"/>
      <c r="K52" s="16"/>
      <c r="L52" s="16"/>
      <c r="M52" s="16"/>
      <c r="N52" s="16"/>
      <c r="O52" s="16"/>
      <c r="P52" s="17">
        <f>SUM(O52:O54)</f>
        <v>4</v>
      </c>
    </row>
    <row r="53" spans="1:16" ht="15" customHeight="1" x14ac:dyDescent="0.25">
      <c r="A53" s="16" t="s">
        <v>102</v>
      </c>
      <c r="B53" s="83" t="s">
        <v>103</v>
      </c>
      <c r="C53" s="84"/>
      <c r="D53" s="84"/>
      <c r="E53" s="84"/>
      <c r="F53" s="85"/>
      <c r="G53" s="16"/>
      <c r="H53" s="17">
        <v>4</v>
      </c>
      <c r="I53" s="17"/>
      <c r="J53" s="17"/>
      <c r="K53" s="17"/>
      <c r="L53" s="17"/>
      <c r="M53" s="17" t="str">
        <f>IF(COUNTA(J53:L53)=2,ROUND(PRODUCT(J53:L53),2),"")</f>
        <v/>
      </c>
      <c r="N53" s="17" t="str">
        <f>IF(OR(COUNTA(J53:L53)=3,AND(COUNTA(J53:L53)=1,M53&lt;&gt;"")),ROUND(PRODUCT(J53:M53),2),"")</f>
        <v/>
      </c>
      <c r="O53" s="17">
        <f>IF(N53&lt;&gt;"",ROUND(PRODUCT(H53,I53,N53),2),IF(M53&lt;&gt;"",ROUND(PRODUCT(H53,I53,M53),2),ROUND(PRODUCT(H53:L53),2)))</f>
        <v>4</v>
      </c>
      <c r="P53" s="17"/>
    </row>
    <row r="54" spans="1:16" ht="15" customHeight="1" x14ac:dyDescent="0.25">
      <c r="A54" s="3"/>
      <c r="B54" s="3"/>
      <c r="C54" s="3"/>
      <c r="D54" s="3"/>
      <c r="E54" s="3"/>
      <c r="F54" s="3"/>
      <c r="G54" s="3"/>
      <c r="H54" s="3"/>
      <c r="I54" s="3"/>
      <c r="J54" s="3"/>
      <c r="K54" s="3"/>
      <c r="L54" s="3"/>
      <c r="M54" s="3"/>
      <c r="N54" s="3"/>
      <c r="O54" s="3"/>
      <c r="P54" s="3"/>
    </row>
    <row r="55" spans="1:16" ht="15" customHeight="1" x14ac:dyDescent="0.25">
      <c r="A55" s="15">
        <v>8</v>
      </c>
      <c r="B55" s="86" t="s">
        <v>104</v>
      </c>
      <c r="C55" s="87"/>
      <c r="D55" s="87"/>
      <c r="E55" s="87"/>
      <c r="F55" s="87"/>
      <c r="G55" s="87"/>
      <c r="H55" s="87"/>
      <c r="I55" s="87"/>
      <c r="J55" s="87"/>
      <c r="K55" s="87"/>
      <c r="L55" s="87"/>
      <c r="M55" s="87"/>
      <c r="N55" s="87"/>
      <c r="O55" s="87"/>
      <c r="P55" s="88"/>
    </row>
    <row r="56" spans="1:16" ht="15" customHeight="1" x14ac:dyDescent="0.25">
      <c r="A56" s="16" t="s">
        <v>45</v>
      </c>
      <c r="B56" s="16" t="s">
        <v>105</v>
      </c>
      <c r="C56" s="83" t="str">
        <f>VLOOKUP(B56,COMPOSICAO!B:K,2,FALSE)</f>
        <v>LIMPEZA GERAL (REF. ORESE 02450)</v>
      </c>
      <c r="D56" s="84"/>
      <c r="E56" s="84"/>
      <c r="F56" s="85"/>
      <c r="G56" s="16" t="str">
        <f>VLOOKUP(B56,COMPOSICAO!B:K,6,FALSE)</f>
        <v>M2</v>
      </c>
      <c r="H56" s="16"/>
      <c r="I56" s="16"/>
      <c r="J56" s="16"/>
      <c r="K56" s="16"/>
      <c r="L56" s="16"/>
      <c r="M56" s="16"/>
      <c r="N56" s="16"/>
      <c r="O56" s="16"/>
      <c r="P56" s="17">
        <f>SUM(O56:O58)</f>
        <v>796.5</v>
      </c>
    </row>
    <row r="57" spans="1:16" ht="15" customHeight="1" x14ac:dyDescent="0.25">
      <c r="A57" s="16" t="s">
        <v>106</v>
      </c>
      <c r="B57" s="83" t="s">
        <v>12</v>
      </c>
      <c r="C57" s="84"/>
      <c r="D57" s="84"/>
      <c r="E57" s="84"/>
      <c r="F57" s="85"/>
      <c r="G57" s="16"/>
      <c r="H57" s="17"/>
      <c r="I57" s="17"/>
      <c r="J57" s="17">
        <v>27</v>
      </c>
      <c r="K57" s="17">
        <v>29.5</v>
      </c>
      <c r="L57" s="17"/>
      <c r="M57" s="17">
        <f>IF(COUNTA(J57:L57)=2,ROUND(PRODUCT(J57:L57),2),"")</f>
        <v>796.5</v>
      </c>
      <c r="N57" s="17" t="str">
        <f>IF(OR(COUNTA(J57:L57)=3,AND(COUNTA(J57:L57)=1,M57&lt;&gt;"")),ROUND(PRODUCT(J57:M57),2),"")</f>
        <v/>
      </c>
      <c r="O57" s="17">
        <f>IF(N57&lt;&gt;"",ROUND(PRODUCT(H57,I57,N57),2),IF(M57&lt;&gt;"",ROUND(PRODUCT(H57,I57,M57),2),ROUND(PRODUCT(H57:L57),2)))</f>
        <v>796.5</v>
      </c>
      <c r="P57" s="17"/>
    </row>
    <row r="58" spans="1:16" ht="15" customHeight="1" x14ac:dyDescent="0.25">
      <c r="A58" s="3"/>
      <c r="B58" s="3"/>
      <c r="C58" s="3"/>
      <c r="D58" s="3"/>
      <c r="E58" s="3"/>
      <c r="F58" s="3"/>
      <c r="G58" s="3"/>
      <c r="H58" s="3"/>
      <c r="I58" s="3"/>
      <c r="J58" s="3"/>
      <c r="K58" s="3"/>
      <c r="L58" s="3"/>
      <c r="M58" s="3"/>
      <c r="N58" s="3"/>
      <c r="O58" s="3"/>
      <c r="P58" s="3"/>
    </row>
    <row r="59" spans="1:16" ht="45" customHeight="1" x14ac:dyDescent="0.25">
      <c r="A59" s="16" t="s">
        <v>46</v>
      </c>
      <c r="B59" s="16" t="s">
        <v>107</v>
      </c>
      <c r="C59" s="83" t="str">
        <f>VLOOKUP(B59,COMPOSICAO!B:K,2,FALSE)</f>
        <v>RETIRADA DE ENTULHO DA OBRA UTILIZANDO CAIXA COLETORA CAPACIDADE 5 M3 (REF. 10033/ORSE)</v>
      </c>
      <c r="D59" s="84"/>
      <c r="E59" s="84"/>
      <c r="F59" s="85"/>
      <c r="G59" s="16" t="str">
        <f>VLOOKUP(B59,COMPOSICAO!B:K,6,FALSE)</f>
        <v>M3</v>
      </c>
      <c r="H59" s="16"/>
      <c r="I59" s="16"/>
      <c r="J59" s="16"/>
      <c r="K59" s="16"/>
      <c r="L59" s="16"/>
      <c r="M59" s="16"/>
      <c r="N59" s="16"/>
      <c r="O59" s="16"/>
      <c r="P59" s="17">
        <f>SUM(O59:O61)</f>
        <v>6</v>
      </c>
    </row>
    <row r="60" spans="1:16" ht="15" customHeight="1" x14ac:dyDescent="0.25">
      <c r="A60" s="16" t="s">
        <v>108</v>
      </c>
      <c r="B60" s="83" t="s">
        <v>12</v>
      </c>
      <c r="C60" s="84"/>
      <c r="D60" s="84"/>
      <c r="E60" s="84"/>
      <c r="F60" s="85"/>
      <c r="G60" s="16"/>
      <c r="H60" s="17"/>
      <c r="I60" s="17"/>
      <c r="J60" s="17"/>
      <c r="K60" s="17"/>
      <c r="L60" s="17"/>
      <c r="M60" s="17" t="str">
        <f>IF(COUNTA(J60:L60)=2,ROUND(PRODUCT(J60:L60),2),"")</f>
        <v/>
      </c>
      <c r="N60" s="17">
        <v>6</v>
      </c>
      <c r="O60" s="17">
        <f>IF(N60&lt;&gt;"",ROUND(PRODUCT(H60,I60,N60),2),IF(M60&lt;&gt;"",ROUND(PRODUCT(H60,I60,M60),2),ROUND(PRODUCT(H60:L60),2)))</f>
        <v>6</v>
      </c>
      <c r="P60" s="17"/>
    </row>
  </sheetData>
  <sheetProtection formatCells="0" formatColumns="0" formatRows="0" insertColumns="0" insertRows="0" insertHyperlinks="0" deleteColumns="0" deleteRows="0" sort="0" autoFilter="0" pivotTables="0"/>
  <mergeCells count="48">
    <mergeCell ref="C15:F15"/>
    <mergeCell ref="A1:P1"/>
    <mergeCell ref="A2:P2"/>
    <mergeCell ref="A3:P3"/>
    <mergeCell ref="K5:L5"/>
    <mergeCell ref="C6:F6"/>
    <mergeCell ref="B7:P7"/>
    <mergeCell ref="C8:F8"/>
    <mergeCell ref="B9:F9"/>
    <mergeCell ref="C11:F11"/>
    <mergeCell ref="B12:F12"/>
    <mergeCell ref="B14:P14"/>
    <mergeCell ref="B30:F30"/>
    <mergeCell ref="B16:F16"/>
    <mergeCell ref="B18:P18"/>
    <mergeCell ref="C19:F19"/>
    <mergeCell ref="B20:F20"/>
    <mergeCell ref="B21:F21"/>
    <mergeCell ref="C23:F23"/>
    <mergeCell ref="B24:F24"/>
    <mergeCell ref="C26:F26"/>
    <mergeCell ref="B27:F27"/>
    <mergeCell ref="B28:F28"/>
    <mergeCell ref="B29:F29"/>
    <mergeCell ref="C44:F44"/>
    <mergeCell ref="B31:F31"/>
    <mergeCell ref="B32:F32"/>
    <mergeCell ref="B33:F33"/>
    <mergeCell ref="B34:F34"/>
    <mergeCell ref="B35:F35"/>
    <mergeCell ref="B36:F36"/>
    <mergeCell ref="B37:F37"/>
    <mergeCell ref="B39:P39"/>
    <mergeCell ref="C40:F40"/>
    <mergeCell ref="B41:F41"/>
    <mergeCell ref="B43:P43"/>
    <mergeCell ref="B60:F60"/>
    <mergeCell ref="B45:F45"/>
    <mergeCell ref="B47:P47"/>
    <mergeCell ref="C48:F48"/>
    <mergeCell ref="B49:F49"/>
    <mergeCell ref="B51:P51"/>
    <mergeCell ref="C52:F52"/>
    <mergeCell ref="B53:F53"/>
    <mergeCell ref="B55:P55"/>
    <mergeCell ref="C56:F56"/>
    <mergeCell ref="B57:F57"/>
    <mergeCell ref="C59:F59"/>
  </mergeCells>
  <pageMargins left="0.7" right="0.7" top="0.75" bottom="0.75" header="0.3" footer="0.3"/>
  <pageSetup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showGridLines="0" workbookViewId="0">
      <selection activeCell="I9" sqref="I9"/>
    </sheetView>
  </sheetViews>
  <sheetFormatPr defaultRowHeight="15" customHeight="1" x14ac:dyDescent="0.25"/>
  <cols>
    <col min="1" max="1" width="14.7109375" style="1" customWidth="1"/>
    <col min="2" max="2" width="12.7109375" style="1" customWidth="1"/>
    <col min="3" max="3" width="4.7109375" style="1" customWidth="1"/>
    <col min="4" max="4" width="8.7109375" style="1" customWidth="1"/>
    <col min="5" max="5" width="25.7109375" style="1" customWidth="1"/>
    <col min="6" max="6" width="12.7109375" style="1" customWidth="1"/>
    <col min="7" max="7" width="8.7109375" style="1" customWidth="1"/>
    <col min="8" max="9" width="16.7109375" style="1" customWidth="1"/>
    <col min="10" max="11" width="8.7109375" style="1" customWidth="1"/>
    <col min="12" max="12" width="16.7109375" style="1" customWidth="1"/>
    <col min="13" max="13" width="27.5703125" style="1" customWidth="1"/>
    <col min="14" max="16384" width="9.140625" style="1"/>
  </cols>
  <sheetData>
    <row r="1" spans="1:13" ht="15" customHeight="1" x14ac:dyDescent="0.25">
      <c r="A1" s="49" t="str">
        <f>CIDADE</f>
        <v>MUNICÍPIO DE SAO RAIMUNDO NONATO - PI</v>
      </c>
      <c r="B1" s="49"/>
      <c r="C1" s="49"/>
      <c r="D1" s="49"/>
      <c r="E1" s="49"/>
      <c r="F1" s="49"/>
      <c r="G1" s="49"/>
      <c r="H1" s="49"/>
      <c r="I1" s="49"/>
      <c r="J1" s="49"/>
      <c r="K1" s="49"/>
    </row>
    <row r="2" spans="1:13" ht="15" customHeight="1" x14ac:dyDescent="0.25">
      <c r="A2" s="49" t="str">
        <f>OBRA</f>
        <v>ESPAÇO DA CIDADANIA</v>
      </c>
      <c r="B2" s="49"/>
      <c r="C2" s="49"/>
      <c r="D2" s="49"/>
      <c r="E2" s="49"/>
      <c r="F2" s="49"/>
      <c r="G2" s="49"/>
      <c r="H2" s="49"/>
      <c r="I2" s="49"/>
      <c r="J2" s="49"/>
      <c r="K2" s="49"/>
    </row>
    <row r="3" spans="1:13" ht="15" customHeight="1" x14ac:dyDescent="0.25">
      <c r="A3" s="49" t="s">
        <v>150</v>
      </c>
      <c r="B3" s="49"/>
      <c r="C3" s="49"/>
      <c r="D3" s="49"/>
      <c r="E3" s="49"/>
      <c r="F3" s="49"/>
      <c r="G3" s="49"/>
      <c r="H3" s="49"/>
      <c r="I3" s="49"/>
      <c r="J3" s="49"/>
      <c r="K3" s="49"/>
    </row>
    <row r="4" spans="1:13" ht="15" customHeight="1" x14ac:dyDescent="0.25">
      <c r="A4" s="3"/>
      <c r="B4" s="3"/>
      <c r="C4" s="3"/>
      <c r="D4" s="3"/>
      <c r="E4" s="3"/>
      <c r="F4" s="3"/>
      <c r="G4" s="3"/>
      <c r="H4" s="3"/>
      <c r="I4" s="3"/>
      <c r="J4" s="3"/>
      <c r="K4" s="3"/>
    </row>
    <row r="5" spans="1:13" ht="15" customHeight="1" x14ac:dyDescent="0.25">
      <c r="A5" s="2" t="s">
        <v>3</v>
      </c>
      <c r="B5" s="4" t="str">
        <f>FONTE&amp;ONERA</f>
        <v>SINAPI PI-12/2021, SEINFRA 27, ORSE-11/2021, SEM DESONERAÇÃO</v>
      </c>
      <c r="C5" s="2"/>
      <c r="D5" s="2"/>
      <c r="E5" s="2"/>
      <c r="G5" s="3"/>
      <c r="H5" s="2" t="s">
        <v>6</v>
      </c>
      <c r="I5" s="5">
        <f>LEI</f>
        <v>111.86</v>
      </c>
      <c r="J5" s="2" t="s">
        <v>7</v>
      </c>
      <c r="K5" s="5">
        <f>BDI</f>
        <v>20.34</v>
      </c>
    </row>
    <row r="6" spans="1:13" ht="15" customHeight="1" x14ac:dyDescent="0.25">
      <c r="A6" s="10" t="s">
        <v>110</v>
      </c>
      <c r="B6" s="10" t="s">
        <v>31</v>
      </c>
      <c r="C6" s="79" t="s">
        <v>8</v>
      </c>
      <c r="D6" s="80"/>
      <c r="E6" s="80"/>
      <c r="F6" s="80"/>
      <c r="G6" s="6" t="s">
        <v>32</v>
      </c>
      <c r="H6" s="6" t="s">
        <v>111</v>
      </c>
      <c r="I6" s="6" t="s">
        <v>112</v>
      </c>
      <c r="J6" s="51" t="s">
        <v>10</v>
      </c>
      <c r="K6" s="52"/>
    </row>
    <row r="7" spans="1:13" ht="45" customHeight="1" x14ac:dyDescent="0.25">
      <c r="A7" s="6" t="s">
        <v>113</v>
      </c>
      <c r="B7" s="20">
        <v>95402</v>
      </c>
      <c r="C7" s="81" t="str">
        <f>VLOOKUP(B7,S!$A:$D,2,FALSE)</f>
        <v>CURSO DE CAPACITAÇÃO PARA ENGENHEIRO CIVIL DE OBRA JÚNIOR (ENCARGOS COMPLEMENTARES) - HORISTA</v>
      </c>
      <c r="D7" s="81"/>
      <c r="E7" s="81"/>
      <c r="F7" s="82"/>
      <c r="G7" s="6" t="str">
        <f>VLOOKUP(B7,S!$A:$D,3,FALSE)</f>
        <v>H</v>
      </c>
      <c r="H7" s="21"/>
      <c r="I7" s="21">
        <f>J9</f>
        <v>1.08</v>
      </c>
      <c r="J7" s="73"/>
      <c r="K7" s="69"/>
      <c r="L7" s="21">
        <f>VLOOKUP(B7,S!$A:$D,4,FALSE)</f>
        <v>1.08</v>
      </c>
      <c r="M7" s="6" t="str">
        <f>IF(ROUND((L7-I7),2)=0,"OK, confere com a tabela.",IF(ROUND((L7-I7),2)&lt;0,"ACIMA ("&amp;TEXT(ROUND(I7*100/L7,4),"0,0000")&amp;" %) da tabela.","ABAIXO ("&amp;TEXT(ROUND(I7*100/L7,4),"0,0000")&amp;" %) da tabela."))</f>
        <v>OK, confere com a tabela.</v>
      </c>
    </row>
    <row r="8" spans="1:13" ht="15" customHeight="1" x14ac:dyDescent="0.25">
      <c r="A8" s="16" t="s">
        <v>114</v>
      </c>
      <c r="B8" s="19">
        <v>2706</v>
      </c>
      <c r="C8" s="74" t="str">
        <f>VLOOKUP(B8,IF(A8="COMPOSICAO",S!$A:$D,I!$A:$D),2,FALSE)</f>
        <v>ENGENHEIRO CIVIL DE OBRA JUNIOR</v>
      </c>
      <c r="D8" s="74"/>
      <c r="E8" s="74"/>
      <c r="F8" s="74"/>
      <c r="G8" s="16" t="str">
        <f>VLOOKUP(B8,IF(A8="COMPOSICAO",S!$A:$D,I!$A:$D),3,FALSE)</f>
        <v>H</v>
      </c>
      <c r="H8" s="28">
        <v>1.2E-2</v>
      </c>
      <c r="I8" s="17">
        <f>IF(A8="COMPOSICAO",VLOOKUP("TOTAL - "&amp;B8,COMPOSICAO_AUX_2!$A:$J,10,FALSE),VLOOKUP(B8,I!$A:$D,4,FALSE))</f>
        <v>90.04</v>
      </c>
      <c r="J8" s="77">
        <f>TRUNC(H8*I8,2)</f>
        <v>1.08</v>
      </c>
      <c r="K8" s="78"/>
    </row>
    <row r="9" spans="1:13" ht="15" customHeight="1" x14ac:dyDescent="0.25">
      <c r="A9" s="23" t="s">
        <v>151</v>
      </c>
      <c r="B9" s="24"/>
      <c r="C9" s="24"/>
      <c r="D9" s="24"/>
      <c r="E9" s="24"/>
      <c r="F9" s="24"/>
      <c r="G9" s="25"/>
      <c r="H9" s="26"/>
      <c r="I9" s="27"/>
      <c r="J9" s="77">
        <f>SUM(J7:K8)</f>
        <v>1.08</v>
      </c>
      <c r="K9" s="78"/>
    </row>
    <row r="10" spans="1:13" ht="15" customHeight="1" x14ac:dyDescent="0.25">
      <c r="A10" s="3"/>
      <c r="B10" s="3"/>
      <c r="C10" s="3"/>
      <c r="D10" s="3"/>
      <c r="E10" s="3"/>
      <c r="F10" s="3"/>
      <c r="G10" s="3"/>
      <c r="H10" s="3"/>
      <c r="I10" s="3"/>
      <c r="J10" s="3"/>
      <c r="K10" s="3"/>
    </row>
    <row r="11" spans="1:13" ht="15" customHeight="1" x14ac:dyDescent="0.25">
      <c r="A11" s="10" t="s">
        <v>110</v>
      </c>
      <c r="B11" s="10" t="s">
        <v>31</v>
      </c>
      <c r="C11" s="79" t="s">
        <v>8</v>
      </c>
      <c r="D11" s="80"/>
      <c r="E11" s="80"/>
      <c r="F11" s="80"/>
      <c r="G11" s="6" t="s">
        <v>32</v>
      </c>
      <c r="H11" s="6" t="s">
        <v>111</v>
      </c>
      <c r="I11" s="6" t="s">
        <v>112</v>
      </c>
      <c r="J11" s="51" t="s">
        <v>10</v>
      </c>
      <c r="K11" s="52"/>
    </row>
    <row r="12" spans="1:13" ht="30" customHeight="1" x14ac:dyDescent="0.25">
      <c r="A12" s="6" t="s">
        <v>113</v>
      </c>
      <c r="B12" s="20">
        <v>95405</v>
      </c>
      <c r="C12" s="81" t="str">
        <f>VLOOKUP(B12,S!$A:$D,2,FALSE)</f>
        <v>CURSO DE CAPACITAÇÃO PARA MESTRE DE OBRAS (ENCARGOS COMPLEMENTARES) - HORISTA</v>
      </c>
      <c r="D12" s="81"/>
      <c r="E12" s="81"/>
      <c r="F12" s="82"/>
      <c r="G12" s="6" t="str">
        <f>VLOOKUP(B12,S!$A:$D,3,FALSE)</f>
        <v>H</v>
      </c>
      <c r="H12" s="21"/>
      <c r="I12" s="21">
        <f>J14</f>
        <v>0.6</v>
      </c>
      <c r="J12" s="73"/>
      <c r="K12" s="69"/>
      <c r="L12" s="21">
        <f>VLOOKUP(B12,S!$A:$D,4,FALSE)</f>
        <v>0.6</v>
      </c>
      <c r="M12" s="6" t="str">
        <f>IF(ROUND((L12-I12),2)=0,"OK, confere com a tabela.",IF(ROUND((L12-I12),2)&lt;0,"ACIMA ("&amp;TEXT(ROUND(I12*100/L12,4),"0,0000")&amp;" %) da tabela.","ABAIXO ("&amp;TEXT(ROUND(I12*100/L12,4),"0,0000")&amp;" %) da tabela."))</f>
        <v>OK, confere com a tabela.</v>
      </c>
    </row>
    <row r="13" spans="1:13" ht="15" customHeight="1" x14ac:dyDescent="0.25">
      <c r="A13" s="16" t="s">
        <v>114</v>
      </c>
      <c r="B13" s="19">
        <v>4069</v>
      </c>
      <c r="C13" s="74" t="str">
        <f>VLOOKUP(B13,IF(A13="COMPOSICAO",S!$A:$D,I!$A:$D),2,FALSE)</f>
        <v>MESTRE DE OBRAS</v>
      </c>
      <c r="D13" s="74"/>
      <c r="E13" s="74"/>
      <c r="F13" s="74"/>
      <c r="G13" s="16" t="str">
        <f>VLOOKUP(B13,IF(A13="COMPOSICAO",S!$A:$D,I!$A:$D),3,FALSE)</f>
        <v>H</v>
      </c>
      <c r="H13" s="29">
        <v>1.72E-2</v>
      </c>
      <c r="I13" s="17">
        <f>IF(A13="COMPOSICAO",VLOOKUP("TOTAL - "&amp;B13,COMPOSICAO_AUX_2!$A:$J,10,FALSE),VLOOKUP(B13,I!$A:$D,4,FALSE))</f>
        <v>35.42</v>
      </c>
      <c r="J13" s="77">
        <f>TRUNC(H13*I13,2)</f>
        <v>0.6</v>
      </c>
      <c r="K13" s="78"/>
    </row>
    <row r="14" spans="1:13" ht="15" customHeight="1" x14ac:dyDescent="0.25">
      <c r="A14" s="23" t="s">
        <v>152</v>
      </c>
      <c r="B14" s="24"/>
      <c r="C14" s="24"/>
      <c r="D14" s="24"/>
      <c r="E14" s="24"/>
      <c r="F14" s="24"/>
      <c r="G14" s="25"/>
      <c r="H14" s="26"/>
      <c r="I14" s="27"/>
      <c r="J14" s="77">
        <f>SUM(J12:K13)</f>
        <v>0.6</v>
      </c>
      <c r="K14" s="78"/>
    </row>
    <row r="15" spans="1:13" ht="15" customHeight="1" x14ac:dyDescent="0.25">
      <c r="A15" s="3"/>
      <c r="B15" s="3"/>
      <c r="C15" s="3"/>
      <c r="D15" s="3"/>
      <c r="E15" s="3"/>
      <c r="F15" s="3"/>
      <c r="G15" s="3"/>
      <c r="H15" s="3"/>
      <c r="I15" s="3"/>
      <c r="J15" s="3"/>
      <c r="K15" s="3"/>
    </row>
    <row r="16" spans="1:13" ht="15" customHeight="1" x14ac:dyDescent="0.25">
      <c r="A16" s="10" t="s">
        <v>110</v>
      </c>
      <c r="B16" s="10" t="s">
        <v>31</v>
      </c>
      <c r="C16" s="79" t="s">
        <v>8</v>
      </c>
      <c r="D16" s="80"/>
      <c r="E16" s="80"/>
      <c r="F16" s="80"/>
      <c r="G16" s="6" t="s">
        <v>32</v>
      </c>
      <c r="H16" s="6" t="s">
        <v>111</v>
      </c>
      <c r="I16" s="6" t="s">
        <v>112</v>
      </c>
      <c r="J16" s="51" t="s">
        <v>10</v>
      </c>
      <c r="K16" s="52"/>
    </row>
    <row r="17" spans="1:13" ht="60" customHeight="1" x14ac:dyDescent="0.25">
      <c r="A17" s="6" t="s">
        <v>153</v>
      </c>
      <c r="B17" s="20">
        <v>94962</v>
      </c>
      <c r="C17" s="81" t="str">
        <f>VLOOKUP(B17,S!$A:$D,2,FALSE)</f>
        <v>CONCRETO MAGRO PARA LASTRO, TRAÇO 1:4,5:4,5 (EM MASSA SECA DE CIMENTO/ AREIA MÉDIA/ BRITA 1) - PREPARO MECÂNICO COM BETONEIRA 400 L. AF_05/2021</v>
      </c>
      <c r="D17" s="81"/>
      <c r="E17" s="81"/>
      <c r="F17" s="82"/>
      <c r="G17" s="6" t="str">
        <f>VLOOKUP(B17,S!$A:$D,3,FALSE)</f>
        <v>M3</v>
      </c>
      <c r="H17" s="21"/>
      <c r="I17" s="21">
        <f>J25</f>
        <v>365.88000000000005</v>
      </c>
      <c r="J17" s="73"/>
      <c r="K17" s="69"/>
      <c r="L17" s="21">
        <f>VLOOKUP(B17,S!$A:$D,4,FALSE)</f>
        <v>365.88</v>
      </c>
      <c r="M17" s="6" t="str">
        <f>IF(ROUND((L17-I17),2)=0,"OK, confere com a tabela.",IF(ROUND((L17-I17),2)&lt;0,"ACIMA ("&amp;TEXT(ROUND(I17*100/L17,4),"0,0000")&amp;" %) da tabela.","ABAIXO ("&amp;TEXT(ROUND(I17*100/L17,4),"0,0000")&amp;" %) da tabela."))</f>
        <v>OK, confere com a tabela.</v>
      </c>
    </row>
    <row r="18" spans="1:13" ht="30" customHeight="1" x14ac:dyDescent="0.25">
      <c r="A18" s="16" t="s">
        <v>114</v>
      </c>
      <c r="B18" s="19">
        <v>370</v>
      </c>
      <c r="C18" s="74" t="str">
        <f>VLOOKUP(B18,IF(A18="COMPOSICAO",S!$A:$D,I!$A:$D),2,FALSE)</f>
        <v>AREIA MEDIA - POSTO JAZIDA/FORNECEDOR (RETIRADO NA JAZIDA, SEM TRANSPORTE)</v>
      </c>
      <c r="D18" s="74"/>
      <c r="E18" s="74"/>
      <c r="F18" s="74"/>
      <c r="G18" s="16" t="str">
        <f>VLOOKUP(B18,IF(A18="COMPOSICAO",S!$A:$D,I!$A:$D),3,FALSE)</f>
        <v>M3</v>
      </c>
      <c r="H18" s="29">
        <v>0.82689999999999997</v>
      </c>
      <c r="I18" s="17">
        <f>IF(A18="COMPOSICAO",VLOOKUP("TOTAL - "&amp;B18,COMPOSICAO_AUX_2!$A:$J,10,FALSE),VLOOKUP(B18,I!$A:$D,4,FALSE))</f>
        <v>70</v>
      </c>
      <c r="J18" s="77">
        <f t="shared" ref="J18:J24" si="0">TRUNC(H18*I18,2)</f>
        <v>57.88</v>
      </c>
      <c r="K18" s="78"/>
    </row>
    <row r="19" spans="1:13" ht="15" customHeight="1" x14ac:dyDescent="0.25">
      <c r="A19" s="16" t="s">
        <v>114</v>
      </c>
      <c r="B19" s="19">
        <v>1379</v>
      </c>
      <c r="C19" s="74" t="str">
        <f>VLOOKUP(B19,IF(A19="COMPOSICAO",S!$A:$D,I!$A:$D),2,FALSE)</f>
        <v>CIMENTO PORTLAND COMPOSTO CP II-32</v>
      </c>
      <c r="D19" s="74"/>
      <c r="E19" s="74"/>
      <c r="F19" s="74"/>
      <c r="G19" s="16" t="str">
        <f>VLOOKUP(B19,IF(A19="COMPOSICAO",S!$A:$D,I!$A:$D),3,FALSE)</f>
        <v>KG</v>
      </c>
      <c r="H19" s="29">
        <v>212.01939999999999</v>
      </c>
      <c r="I19" s="17">
        <f>IF(A19="COMPOSICAO",VLOOKUP("TOTAL - "&amp;B19,COMPOSICAO_AUX_2!$A:$J,10,FALSE),VLOOKUP(B19,I!$A:$D,4,FALSE))</f>
        <v>0.72</v>
      </c>
      <c r="J19" s="77">
        <f t="shared" si="0"/>
        <v>152.65</v>
      </c>
      <c r="K19" s="78"/>
    </row>
    <row r="20" spans="1:13" ht="30" customHeight="1" x14ac:dyDescent="0.25">
      <c r="A20" s="16" t="s">
        <v>114</v>
      </c>
      <c r="B20" s="19">
        <v>4721</v>
      </c>
      <c r="C20" s="74" t="str">
        <f>VLOOKUP(B20,IF(A20="COMPOSICAO",S!$A:$D,I!$A:$D),2,FALSE)</f>
        <v>PEDRA BRITADA N. 1 (9,5 a 19 MM) POSTO PEDREIRA/FORNECEDOR, SEM FRETE</v>
      </c>
      <c r="D20" s="74"/>
      <c r="E20" s="74"/>
      <c r="F20" s="74"/>
      <c r="G20" s="16" t="str">
        <f>VLOOKUP(B20,IF(A20="COMPOSICAO",S!$A:$D,I!$A:$D),3,FALSE)</f>
        <v>M3</v>
      </c>
      <c r="H20" s="29">
        <v>0.57820000000000005</v>
      </c>
      <c r="I20" s="17">
        <f>IF(A20="COMPOSICAO",VLOOKUP("TOTAL - "&amp;B20,COMPOSICAO_AUX_2!$A:$J,10,FALSE),VLOOKUP(B20,I!$A:$D,4,FALSE))</f>
        <v>149.21</v>
      </c>
      <c r="J20" s="77">
        <f t="shared" si="0"/>
        <v>86.27</v>
      </c>
      <c r="K20" s="78"/>
    </row>
    <row r="21" spans="1:13" ht="15" customHeight="1" x14ac:dyDescent="0.25">
      <c r="A21" s="16" t="s">
        <v>115</v>
      </c>
      <c r="B21" s="19">
        <v>88316</v>
      </c>
      <c r="C21" s="74" t="str">
        <f>VLOOKUP(B21,IF(A21="COMPOSICAO",S!$A:$D,I!$A:$D),2,FALSE)</f>
        <v>SERVENTE COM ENCARGOS COMPLEMENTARES</v>
      </c>
      <c r="D21" s="74"/>
      <c r="E21" s="74"/>
      <c r="F21" s="74"/>
      <c r="G21" s="16" t="str">
        <f>VLOOKUP(B21,IF(A21="COMPOSICAO",S!$A:$D,I!$A:$D),3,FALSE)</f>
        <v>H</v>
      </c>
      <c r="H21" s="29">
        <v>2.3433000000000002</v>
      </c>
      <c r="I21" s="17">
        <f>IF(A21="COMPOSICAO",VLOOKUP("TOTAL - "&amp;B21,COMPOSICAO_AUX_2!$A:$J,10,FALSE),VLOOKUP(B21,I!$A:$D,4,FALSE))</f>
        <v>16.329999999999998</v>
      </c>
      <c r="J21" s="77">
        <f t="shared" si="0"/>
        <v>38.26</v>
      </c>
      <c r="K21" s="78"/>
    </row>
    <row r="22" spans="1:13" ht="30" customHeight="1" x14ac:dyDescent="0.25">
      <c r="A22" s="16" t="s">
        <v>115</v>
      </c>
      <c r="B22" s="19">
        <v>88377</v>
      </c>
      <c r="C22" s="74" t="str">
        <f>VLOOKUP(B22,IF(A22="COMPOSICAO",S!$A:$D,I!$A:$D),2,FALSE)</f>
        <v>OPERADOR DE BETONEIRA ESTACIONÁRIA/MISTURADOR COM ENCARGOS COMPLEMENTARES</v>
      </c>
      <c r="D22" s="74"/>
      <c r="E22" s="74"/>
      <c r="F22" s="74"/>
      <c r="G22" s="16" t="str">
        <f>VLOOKUP(B22,IF(A22="COMPOSICAO",S!$A:$D,I!$A:$D),3,FALSE)</f>
        <v>H</v>
      </c>
      <c r="H22" s="29">
        <v>1.4811000000000001</v>
      </c>
      <c r="I22" s="17">
        <f>IF(A22="COMPOSICAO",VLOOKUP("TOTAL - "&amp;B22,COMPOSICAO_AUX_2!$A:$J,10,FALSE),VLOOKUP(B22,I!$A:$D,4,FALSE))</f>
        <v>19.650000000000006</v>
      </c>
      <c r="J22" s="77">
        <f t="shared" si="0"/>
        <v>29.1</v>
      </c>
      <c r="K22" s="78"/>
    </row>
    <row r="23" spans="1:13" ht="60" customHeight="1" x14ac:dyDescent="0.25">
      <c r="A23" s="16" t="s">
        <v>115</v>
      </c>
      <c r="B23" s="19">
        <v>88830</v>
      </c>
      <c r="C23" s="74" t="str">
        <f>VLOOKUP(B23,IF(A23="COMPOSICAO",S!$A:$D,I!$A:$D),2,FALSE)</f>
        <v>BETONEIRA CAPACIDADE NOMINAL DE 400 L, CAPACIDADE DE MISTURA 280 L, MOTOR ELÉTRICO TRIFÁSICO POTÊNCIA DE 2 CV, SEM CARREGADOR - CHP DIURNO. AF_10/2014</v>
      </c>
      <c r="D23" s="74"/>
      <c r="E23" s="74"/>
      <c r="F23" s="74"/>
      <c r="G23" s="16" t="str">
        <f>VLOOKUP(B23,IF(A23="COMPOSICAO",S!$A:$D,I!$A:$D),3,FALSE)</f>
        <v>CHP</v>
      </c>
      <c r="H23" s="29">
        <v>0.76229999999999998</v>
      </c>
      <c r="I23" s="17">
        <f>IF(A23="COMPOSICAO",VLOOKUP("TOTAL - "&amp;B23,COMPOSICAO_AUX_2!$A:$J,10,FALSE),VLOOKUP(B23,I!$A:$D,4,FALSE))</f>
        <v>1.9500000000000002</v>
      </c>
      <c r="J23" s="77">
        <f t="shared" si="0"/>
        <v>1.48</v>
      </c>
      <c r="K23" s="78"/>
    </row>
    <row r="24" spans="1:13" ht="60" customHeight="1" x14ac:dyDescent="0.25">
      <c r="A24" s="16" t="s">
        <v>115</v>
      </c>
      <c r="B24" s="19">
        <v>88831</v>
      </c>
      <c r="C24" s="74" t="str">
        <f>VLOOKUP(B24,IF(A24="COMPOSICAO",S!$A:$D,I!$A:$D),2,FALSE)</f>
        <v>BETONEIRA CAPACIDADE NOMINAL DE 400 L, CAPACIDADE DE MISTURA 280 L, MOTOR ELÉTRICO TRIFÁSICO POTÊNCIA DE 2 CV, SEM CARREGADOR - CHI DIURNO. AF_10/2014</v>
      </c>
      <c r="D24" s="74"/>
      <c r="E24" s="74"/>
      <c r="F24" s="74"/>
      <c r="G24" s="16" t="str">
        <f>VLOOKUP(B24,IF(A24="COMPOSICAO",S!$A:$D,I!$A:$D),3,FALSE)</f>
        <v>CHI</v>
      </c>
      <c r="H24" s="29">
        <v>0.71879999999999999</v>
      </c>
      <c r="I24" s="17">
        <f>IF(A24="COMPOSICAO",VLOOKUP("TOTAL - "&amp;B24,COMPOSICAO_AUX_2!$A:$J,10,FALSE),VLOOKUP(B24,I!$A:$D,4,FALSE))</f>
        <v>0.33999999999999997</v>
      </c>
      <c r="J24" s="77">
        <f t="shared" si="0"/>
        <v>0.24</v>
      </c>
      <c r="K24" s="78"/>
    </row>
    <row r="25" spans="1:13" ht="15" customHeight="1" x14ac:dyDescent="0.25">
      <c r="A25" s="23" t="s">
        <v>154</v>
      </c>
      <c r="B25" s="24"/>
      <c r="C25" s="24"/>
      <c r="D25" s="24"/>
      <c r="E25" s="24"/>
      <c r="F25" s="24"/>
      <c r="G25" s="25"/>
      <c r="H25" s="26"/>
      <c r="I25" s="27"/>
      <c r="J25" s="77">
        <f>SUM(J17:K24)</f>
        <v>365.88000000000005</v>
      </c>
      <c r="K25" s="78"/>
    </row>
    <row r="26" spans="1:13" ht="15" customHeight="1" x14ac:dyDescent="0.25">
      <c r="A26" s="3"/>
      <c r="B26" s="3"/>
      <c r="C26" s="3"/>
      <c r="D26" s="3"/>
      <c r="E26" s="3"/>
      <c r="F26" s="3"/>
      <c r="G26" s="3"/>
      <c r="H26" s="3"/>
      <c r="I26" s="3"/>
      <c r="J26" s="3"/>
      <c r="K26" s="3"/>
    </row>
    <row r="27" spans="1:13" ht="15" customHeight="1" x14ac:dyDescent="0.25">
      <c r="A27" s="10" t="s">
        <v>110</v>
      </c>
      <c r="B27" s="10" t="s">
        <v>31</v>
      </c>
      <c r="C27" s="79" t="s">
        <v>8</v>
      </c>
      <c r="D27" s="80"/>
      <c r="E27" s="80"/>
      <c r="F27" s="80"/>
      <c r="G27" s="6" t="s">
        <v>32</v>
      </c>
      <c r="H27" s="6" t="s">
        <v>111</v>
      </c>
      <c r="I27" s="6" t="s">
        <v>112</v>
      </c>
      <c r="J27" s="51" t="s">
        <v>10</v>
      </c>
      <c r="K27" s="52"/>
    </row>
    <row r="28" spans="1:13" ht="30" customHeight="1" x14ac:dyDescent="0.25">
      <c r="A28" s="6" t="s">
        <v>113</v>
      </c>
      <c r="B28" s="20">
        <v>88262</v>
      </c>
      <c r="C28" s="81" t="str">
        <f>VLOOKUP(B28,S!$A:$D,2,FALSE)</f>
        <v>CARPINTEIRO DE FORMAS COM ENCARGOS COMPLEMENTARES</v>
      </c>
      <c r="D28" s="81"/>
      <c r="E28" s="81"/>
      <c r="F28" s="82"/>
      <c r="G28" s="6" t="str">
        <f>VLOOKUP(B28,S!$A:$D,3,FALSE)</f>
        <v>H</v>
      </c>
      <c r="H28" s="21"/>
      <c r="I28" s="21">
        <f>J37</f>
        <v>20.61</v>
      </c>
      <c r="J28" s="73"/>
      <c r="K28" s="69"/>
      <c r="L28" s="21">
        <f>VLOOKUP(B28,S!$A:$D,4,FALSE)</f>
        <v>20.61</v>
      </c>
      <c r="M28" s="6" t="str">
        <f>IF(ROUND((L28-I28),2)=0,"OK, confere com a tabela.",IF(ROUND((L28-I28),2)&lt;0,"ACIMA ("&amp;TEXT(ROUND(I28*100/L28,4),"0,0000")&amp;" %) da tabela.","ABAIXO ("&amp;TEXT(ROUND(I28*100/L28,4),"0,0000")&amp;" %) da tabela."))</f>
        <v>OK, confere com a tabela.</v>
      </c>
    </row>
    <row r="29" spans="1:13" ht="15" customHeight="1" x14ac:dyDescent="0.25">
      <c r="A29" s="16" t="s">
        <v>114</v>
      </c>
      <c r="B29" s="19">
        <v>1213</v>
      </c>
      <c r="C29" s="74" t="str">
        <f>VLOOKUP(B29,IF(A29="COMPOSICAO",S!$A:$D,I!$A:$D),2,FALSE)</f>
        <v>CARPINTEIRO DE FORMAS</v>
      </c>
      <c r="D29" s="74"/>
      <c r="E29" s="74"/>
      <c r="F29" s="74"/>
      <c r="G29" s="16" t="str">
        <f>VLOOKUP(B29,IF(A29="COMPOSICAO",S!$A:$D,I!$A:$D),3,FALSE)</f>
        <v>H</v>
      </c>
      <c r="H29" s="17">
        <v>1</v>
      </c>
      <c r="I29" s="17">
        <f>IF(A29="COMPOSICAO",VLOOKUP("TOTAL - "&amp;B29,COMPOSICAO_AUX_2!$A:$J,10,FALSE),VLOOKUP(B29,I!$A:$D,4,FALSE))</f>
        <v>14.91</v>
      </c>
      <c r="J29" s="77">
        <f t="shared" ref="J29:J36" si="1">TRUNC(H29*I29,2)</f>
        <v>14.91</v>
      </c>
      <c r="K29" s="78"/>
    </row>
    <row r="30" spans="1:13" ht="15" customHeight="1" x14ac:dyDescent="0.25">
      <c r="A30" s="16" t="s">
        <v>114</v>
      </c>
      <c r="B30" s="19">
        <v>37370</v>
      </c>
      <c r="C30" s="74" t="str">
        <f>VLOOKUP(B30,IF(A30="COMPOSICAO",S!$A:$D,I!$A:$D),2,FALSE)</f>
        <v>ALIMENTACAO - HORISTA (COLETADO CAIXA)</v>
      </c>
      <c r="D30" s="74"/>
      <c r="E30" s="74"/>
      <c r="F30" s="74"/>
      <c r="G30" s="16" t="str">
        <f>VLOOKUP(B30,IF(A30="COMPOSICAO",S!$A:$D,I!$A:$D),3,FALSE)</f>
        <v>H</v>
      </c>
      <c r="H30" s="17">
        <v>1</v>
      </c>
      <c r="I30" s="17">
        <f>IF(A30="COMPOSICAO",VLOOKUP("TOTAL - "&amp;B30,COMPOSICAO_AUX_2!$A:$J,10,FALSE),VLOOKUP(B30,I!$A:$D,4,FALSE))</f>
        <v>2.29</v>
      </c>
      <c r="J30" s="77">
        <f t="shared" si="1"/>
        <v>2.29</v>
      </c>
      <c r="K30" s="78"/>
    </row>
    <row r="31" spans="1:13" ht="15" customHeight="1" x14ac:dyDescent="0.25">
      <c r="A31" s="16" t="s">
        <v>114</v>
      </c>
      <c r="B31" s="19">
        <v>37371</v>
      </c>
      <c r="C31" s="74" t="str">
        <f>VLOOKUP(B31,IF(A31="COMPOSICAO",S!$A:$D,I!$A:$D),2,FALSE)</f>
        <v>TRANSPORTE - HORISTA (COLETADO CAIXA)</v>
      </c>
      <c r="D31" s="74"/>
      <c r="E31" s="74"/>
      <c r="F31" s="74"/>
      <c r="G31" s="16" t="str">
        <f>VLOOKUP(B31,IF(A31="COMPOSICAO",S!$A:$D,I!$A:$D),3,FALSE)</f>
        <v>H</v>
      </c>
      <c r="H31" s="17">
        <v>1</v>
      </c>
      <c r="I31" s="17">
        <f>IF(A31="COMPOSICAO",VLOOKUP("TOTAL - "&amp;B31,COMPOSICAO_AUX_2!$A:$J,10,FALSE),VLOOKUP(B31,I!$A:$D,4,FALSE))</f>
        <v>0.69</v>
      </c>
      <c r="J31" s="77">
        <f t="shared" si="1"/>
        <v>0.69</v>
      </c>
      <c r="K31" s="78"/>
    </row>
    <row r="32" spans="1:13" ht="15" customHeight="1" x14ac:dyDescent="0.25">
      <c r="A32" s="16" t="s">
        <v>114</v>
      </c>
      <c r="B32" s="19">
        <v>37372</v>
      </c>
      <c r="C32" s="74" t="str">
        <f>VLOOKUP(B32,IF(A32="COMPOSICAO",S!$A:$D,I!$A:$D),2,FALSE)</f>
        <v>EXAMES - HORISTA (COLETADO CAIXA)</v>
      </c>
      <c r="D32" s="74"/>
      <c r="E32" s="74"/>
      <c r="F32" s="74"/>
      <c r="G32" s="16" t="str">
        <f>VLOOKUP(B32,IF(A32="COMPOSICAO",S!$A:$D,I!$A:$D),3,FALSE)</f>
        <v>H</v>
      </c>
      <c r="H32" s="17">
        <v>1</v>
      </c>
      <c r="I32" s="17">
        <f>IF(A32="COMPOSICAO",VLOOKUP("TOTAL - "&amp;B32,COMPOSICAO_AUX_2!$A:$J,10,FALSE),VLOOKUP(B32,I!$A:$D,4,FALSE))</f>
        <v>0.81</v>
      </c>
      <c r="J32" s="77">
        <f t="shared" si="1"/>
        <v>0.81</v>
      </c>
      <c r="K32" s="78"/>
    </row>
    <row r="33" spans="1:13" ht="15" customHeight="1" x14ac:dyDescent="0.25">
      <c r="A33" s="16" t="s">
        <v>114</v>
      </c>
      <c r="B33" s="19">
        <v>37373</v>
      </c>
      <c r="C33" s="74" t="str">
        <f>VLOOKUP(B33,IF(A33="COMPOSICAO",S!$A:$D,I!$A:$D),2,FALSE)</f>
        <v>SEGURO - HORISTA (COLETADO CAIXA)</v>
      </c>
      <c r="D33" s="74"/>
      <c r="E33" s="74"/>
      <c r="F33" s="74"/>
      <c r="G33" s="16" t="str">
        <f>VLOOKUP(B33,IF(A33="COMPOSICAO",S!$A:$D,I!$A:$D),3,FALSE)</f>
        <v>H</v>
      </c>
      <c r="H33" s="17">
        <v>1</v>
      </c>
      <c r="I33" s="17">
        <f>IF(A33="COMPOSICAO",VLOOKUP("TOTAL - "&amp;B33,COMPOSICAO_AUX_2!$A:$J,10,FALSE),VLOOKUP(B33,I!$A:$D,4,FALSE))</f>
        <v>0.06</v>
      </c>
      <c r="J33" s="77">
        <f t="shared" si="1"/>
        <v>0.06</v>
      </c>
      <c r="K33" s="78"/>
    </row>
    <row r="34" spans="1:13" ht="45" customHeight="1" x14ac:dyDescent="0.25">
      <c r="A34" s="16" t="s">
        <v>114</v>
      </c>
      <c r="B34" s="19">
        <v>43459</v>
      </c>
      <c r="C34" s="74" t="str">
        <f>VLOOKUP(B34,IF(A34="COMPOSICAO",S!$A:$D,I!$A:$D),2,FALSE)</f>
        <v>FERRAMENTAS - FAMILIA CARPINTEIRO DE FORMAS - HORISTA (ENCARGOS COMPLEMENTARES - COLETADO CAIXA)</v>
      </c>
      <c r="D34" s="74"/>
      <c r="E34" s="74"/>
      <c r="F34" s="74"/>
      <c r="G34" s="16" t="str">
        <f>VLOOKUP(B34,IF(A34="COMPOSICAO",S!$A:$D,I!$A:$D),3,FALSE)</f>
        <v>H</v>
      </c>
      <c r="H34" s="17">
        <v>1</v>
      </c>
      <c r="I34" s="17">
        <f>IF(A34="COMPOSICAO",VLOOKUP("TOTAL - "&amp;B34,COMPOSICAO_AUX_2!$A:$J,10,FALSE),VLOOKUP(B34,I!$A:$D,4,FALSE))</f>
        <v>0.45</v>
      </c>
      <c r="J34" s="77">
        <f t="shared" si="1"/>
        <v>0.45</v>
      </c>
      <c r="K34" s="78"/>
    </row>
    <row r="35" spans="1:13" ht="30" customHeight="1" x14ac:dyDescent="0.25">
      <c r="A35" s="16" t="s">
        <v>114</v>
      </c>
      <c r="B35" s="19">
        <v>43483</v>
      </c>
      <c r="C35" s="74" t="str">
        <f>VLOOKUP(B35,IF(A35="COMPOSICAO",S!$A:$D,I!$A:$D),2,FALSE)</f>
        <v>EPI - FAMILIA CARPINTEIRO DE FORMAS - HORISTA (ENCARGOS COMPLEMENTARES - COLETADO CAIXA)</v>
      </c>
      <c r="D35" s="74"/>
      <c r="E35" s="74"/>
      <c r="F35" s="74"/>
      <c r="G35" s="16" t="str">
        <f>VLOOKUP(B35,IF(A35="COMPOSICAO",S!$A:$D,I!$A:$D),3,FALSE)</f>
        <v>H</v>
      </c>
      <c r="H35" s="17">
        <v>1</v>
      </c>
      <c r="I35" s="17">
        <f>IF(A35="COMPOSICAO",VLOOKUP("TOTAL - "&amp;B35,COMPOSICAO_AUX_2!$A:$J,10,FALSE),VLOOKUP(B35,I!$A:$D,4,FALSE))</f>
        <v>1.26</v>
      </c>
      <c r="J35" s="77">
        <f t="shared" si="1"/>
        <v>1.26</v>
      </c>
      <c r="K35" s="78"/>
    </row>
    <row r="36" spans="1:13" ht="30" customHeight="1" x14ac:dyDescent="0.25">
      <c r="A36" s="16" t="s">
        <v>115</v>
      </c>
      <c r="B36" s="19">
        <v>95330</v>
      </c>
      <c r="C36" s="74" t="str">
        <f>VLOOKUP(B36,IF(A36="COMPOSICAO",S!$A:$D,I!$A:$D),2,FALSE)</f>
        <v>CURSO DE CAPACITAÇÃO PARA CARPINTEIRO DE FÔRMAS (ENCARGOS COMPLEMENTARES) - HORISTA</v>
      </c>
      <c r="D36" s="74"/>
      <c r="E36" s="74"/>
      <c r="F36" s="74"/>
      <c r="G36" s="16" t="str">
        <f>VLOOKUP(B36,IF(A36="COMPOSICAO",S!$A:$D,I!$A:$D),3,FALSE)</f>
        <v>H</v>
      </c>
      <c r="H36" s="17">
        <v>1</v>
      </c>
      <c r="I36" s="17">
        <f>IF(A36="COMPOSICAO",VLOOKUP("TOTAL - "&amp;B36,COMPOSICAO_AUX_2!$A:$J,10,FALSE),VLOOKUP(B36,I!$A:$D,4,FALSE))</f>
        <v>0.14000000000000001</v>
      </c>
      <c r="J36" s="77">
        <f t="shared" si="1"/>
        <v>0.14000000000000001</v>
      </c>
      <c r="K36" s="78"/>
    </row>
    <row r="37" spans="1:13" ht="15" customHeight="1" x14ac:dyDescent="0.25">
      <c r="A37" s="23" t="s">
        <v>155</v>
      </c>
      <c r="B37" s="24"/>
      <c r="C37" s="24"/>
      <c r="D37" s="24"/>
      <c r="E37" s="24"/>
      <c r="F37" s="24"/>
      <c r="G37" s="25"/>
      <c r="H37" s="26"/>
      <c r="I37" s="27"/>
      <c r="J37" s="77">
        <f>SUM(J28:K36)</f>
        <v>20.61</v>
      </c>
      <c r="K37" s="78"/>
    </row>
    <row r="38" spans="1:13" ht="15" customHeight="1" x14ac:dyDescent="0.25">
      <c r="A38" s="3"/>
      <c r="B38" s="3"/>
      <c r="C38" s="3"/>
      <c r="D38" s="3"/>
      <c r="E38" s="3"/>
      <c r="F38" s="3"/>
      <c r="G38" s="3"/>
      <c r="H38" s="3"/>
      <c r="I38" s="3"/>
      <c r="J38" s="3"/>
      <c r="K38" s="3"/>
    </row>
    <row r="39" spans="1:13" ht="15" customHeight="1" x14ac:dyDescent="0.25">
      <c r="A39" s="10" t="s">
        <v>110</v>
      </c>
      <c r="B39" s="10" t="s">
        <v>31</v>
      </c>
      <c r="C39" s="79" t="s">
        <v>8</v>
      </c>
      <c r="D39" s="80"/>
      <c r="E39" s="80"/>
      <c r="F39" s="80"/>
      <c r="G39" s="6" t="s">
        <v>32</v>
      </c>
      <c r="H39" s="6" t="s">
        <v>111</v>
      </c>
      <c r="I39" s="6" t="s">
        <v>112</v>
      </c>
      <c r="J39" s="51" t="s">
        <v>10</v>
      </c>
      <c r="K39" s="52"/>
    </row>
    <row r="40" spans="1:13" ht="15" customHeight="1" x14ac:dyDescent="0.25">
      <c r="A40" s="6" t="s">
        <v>113</v>
      </c>
      <c r="B40" s="20">
        <v>88316</v>
      </c>
      <c r="C40" s="81" t="str">
        <f>VLOOKUP(B40,S!$A:$D,2,FALSE)</f>
        <v>SERVENTE COM ENCARGOS COMPLEMENTARES</v>
      </c>
      <c r="D40" s="81"/>
      <c r="E40" s="81"/>
      <c r="F40" s="82"/>
      <c r="G40" s="6" t="str">
        <f>VLOOKUP(B40,S!$A:$D,3,FALSE)</f>
        <v>H</v>
      </c>
      <c r="H40" s="21"/>
      <c r="I40" s="21">
        <f>J49</f>
        <v>16.329999999999998</v>
      </c>
      <c r="J40" s="73"/>
      <c r="K40" s="69"/>
      <c r="L40" s="21">
        <f>VLOOKUP(B40,S!$A:$D,4,FALSE)</f>
        <v>16.329999999999998</v>
      </c>
      <c r="M40" s="6" t="str">
        <f>IF(ROUND((L40-I40),2)=0,"OK, confere com a tabela.",IF(ROUND((L40-I40),2)&lt;0,"ACIMA ("&amp;TEXT(ROUND(I40*100/L40,4),"0,0000")&amp;" %) da tabela.","ABAIXO ("&amp;TEXT(ROUND(I40*100/L40,4),"0,0000")&amp;" %) da tabela."))</f>
        <v>OK, confere com a tabela.</v>
      </c>
    </row>
    <row r="41" spans="1:13" ht="15" customHeight="1" x14ac:dyDescent="0.25">
      <c r="A41" s="16" t="s">
        <v>114</v>
      </c>
      <c r="B41" s="19">
        <v>6111</v>
      </c>
      <c r="C41" s="74" t="str">
        <f>VLOOKUP(B41,IF(A41="COMPOSICAO",S!$A:$D,I!$A:$D),2,FALSE)</f>
        <v>SERVENTE DE OBRAS</v>
      </c>
      <c r="D41" s="74"/>
      <c r="E41" s="74"/>
      <c r="F41" s="74"/>
      <c r="G41" s="16" t="str">
        <f>VLOOKUP(B41,IF(A41="COMPOSICAO",S!$A:$D,I!$A:$D),3,FALSE)</f>
        <v>H</v>
      </c>
      <c r="H41" s="17">
        <v>1</v>
      </c>
      <c r="I41" s="17">
        <f>IF(A41="COMPOSICAO",VLOOKUP("TOTAL - "&amp;B41,COMPOSICAO_AUX_2!$A:$J,10,FALSE),VLOOKUP(B41,I!$A:$D,4,FALSE))</f>
        <v>10.59</v>
      </c>
      <c r="J41" s="77">
        <f t="shared" ref="J41:J48" si="2">TRUNC(H41*I41,2)</f>
        <v>10.59</v>
      </c>
      <c r="K41" s="78"/>
    </row>
    <row r="42" spans="1:13" ht="15" customHeight="1" x14ac:dyDescent="0.25">
      <c r="A42" s="16" t="s">
        <v>114</v>
      </c>
      <c r="B42" s="19">
        <v>37370</v>
      </c>
      <c r="C42" s="74" t="str">
        <f>VLOOKUP(B42,IF(A42="COMPOSICAO",S!$A:$D,I!$A:$D),2,FALSE)</f>
        <v>ALIMENTACAO - HORISTA (COLETADO CAIXA)</v>
      </c>
      <c r="D42" s="74"/>
      <c r="E42" s="74"/>
      <c r="F42" s="74"/>
      <c r="G42" s="16" t="str">
        <f>VLOOKUP(B42,IF(A42="COMPOSICAO",S!$A:$D,I!$A:$D),3,FALSE)</f>
        <v>H</v>
      </c>
      <c r="H42" s="17">
        <v>1</v>
      </c>
      <c r="I42" s="17">
        <f>IF(A42="COMPOSICAO",VLOOKUP("TOTAL - "&amp;B42,COMPOSICAO_AUX_2!$A:$J,10,FALSE),VLOOKUP(B42,I!$A:$D,4,FALSE))</f>
        <v>2.29</v>
      </c>
      <c r="J42" s="77">
        <f t="shared" si="2"/>
        <v>2.29</v>
      </c>
      <c r="K42" s="78"/>
    </row>
    <row r="43" spans="1:13" ht="15" customHeight="1" x14ac:dyDescent="0.25">
      <c r="A43" s="16" t="s">
        <v>114</v>
      </c>
      <c r="B43" s="19">
        <v>37371</v>
      </c>
      <c r="C43" s="74" t="str">
        <f>VLOOKUP(B43,IF(A43="COMPOSICAO",S!$A:$D,I!$A:$D),2,FALSE)</f>
        <v>TRANSPORTE - HORISTA (COLETADO CAIXA)</v>
      </c>
      <c r="D43" s="74"/>
      <c r="E43" s="74"/>
      <c r="F43" s="74"/>
      <c r="G43" s="16" t="str">
        <f>VLOOKUP(B43,IF(A43="COMPOSICAO",S!$A:$D,I!$A:$D),3,FALSE)</f>
        <v>H</v>
      </c>
      <c r="H43" s="17">
        <v>1</v>
      </c>
      <c r="I43" s="17">
        <f>IF(A43="COMPOSICAO",VLOOKUP("TOTAL - "&amp;B43,COMPOSICAO_AUX_2!$A:$J,10,FALSE),VLOOKUP(B43,I!$A:$D,4,FALSE))</f>
        <v>0.69</v>
      </c>
      <c r="J43" s="77">
        <f t="shared" si="2"/>
        <v>0.69</v>
      </c>
      <c r="K43" s="78"/>
    </row>
    <row r="44" spans="1:13" ht="15" customHeight="1" x14ac:dyDescent="0.25">
      <c r="A44" s="16" t="s">
        <v>114</v>
      </c>
      <c r="B44" s="19">
        <v>37372</v>
      </c>
      <c r="C44" s="74" t="str">
        <f>VLOOKUP(B44,IF(A44="COMPOSICAO",S!$A:$D,I!$A:$D),2,FALSE)</f>
        <v>EXAMES - HORISTA (COLETADO CAIXA)</v>
      </c>
      <c r="D44" s="74"/>
      <c r="E44" s="74"/>
      <c r="F44" s="74"/>
      <c r="G44" s="16" t="str">
        <f>VLOOKUP(B44,IF(A44="COMPOSICAO",S!$A:$D,I!$A:$D),3,FALSE)</f>
        <v>H</v>
      </c>
      <c r="H44" s="17">
        <v>1</v>
      </c>
      <c r="I44" s="17">
        <f>IF(A44="COMPOSICAO",VLOOKUP("TOTAL - "&amp;B44,COMPOSICAO_AUX_2!$A:$J,10,FALSE),VLOOKUP(B44,I!$A:$D,4,FALSE))</f>
        <v>0.81</v>
      </c>
      <c r="J44" s="77">
        <f t="shared" si="2"/>
        <v>0.81</v>
      </c>
      <c r="K44" s="78"/>
    </row>
    <row r="45" spans="1:13" ht="15" customHeight="1" x14ac:dyDescent="0.25">
      <c r="A45" s="16" t="s">
        <v>114</v>
      </c>
      <c r="B45" s="19">
        <v>37373</v>
      </c>
      <c r="C45" s="74" t="str">
        <f>VLOOKUP(B45,IF(A45="COMPOSICAO",S!$A:$D,I!$A:$D),2,FALSE)</f>
        <v>SEGURO - HORISTA (COLETADO CAIXA)</v>
      </c>
      <c r="D45" s="74"/>
      <c r="E45" s="74"/>
      <c r="F45" s="74"/>
      <c r="G45" s="16" t="str">
        <f>VLOOKUP(B45,IF(A45="COMPOSICAO",S!$A:$D,I!$A:$D),3,FALSE)</f>
        <v>H</v>
      </c>
      <c r="H45" s="17">
        <v>1</v>
      </c>
      <c r="I45" s="17">
        <f>IF(A45="COMPOSICAO",VLOOKUP("TOTAL - "&amp;B45,COMPOSICAO_AUX_2!$A:$J,10,FALSE),VLOOKUP(B45,I!$A:$D,4,FALSE))</f>
        <v>0.06</v>
      </c>
      <c r="J45" s="77">
        <f t="shared" si="2"/>
        <v>0.06</v>
      </c>
      <c r="K45" s="78"/>
    </row>
    <row r="46" spans="1:13" ht="30" customHeight="1" x14ac:dyDescent="0.25">
      <c r="A46" s="16" t="s">
        <v>114</v>
      </c>
      <c r="B46" s="19">
        <v>43467</v>
      </c>
      <c r="C46" s="74" t="str">
        <f>VLOOKUP(B46,IF(A46="COMPOSICAO",S!$A:$D,I!$A:$D),2,FALSE)</f>
        <v>FERRAMENTAS - FAMILIA SERVENTE - HORISTA (ENCARGOS COMPLEMENTARES - COLETADO CAIXA)</v>
      </c>
      <c r="D46" s="74"/>
      <c r="E46" s="74"/>
      <c r="F46" s="74"/>
      <c r="G46" s="16" t="str">
        <f>VLOOKUP(B46,IF(A46="COMPOSICAO",S!$A:$D,I!$A:$D),3,FALSE)</f>
        <v>H</v>
      </c>
      <c r="H46" s="17">
        <v>1</v>
      </c>
      <c r="I46" s="17">
        <f>IF(A46="COMPOSICAO",VLOOKUP("TOTAL - "&amp;B46,COMPOSICAO_AUX_2!$A:$J,10,FALSE),VLOOKUP(B46,I!$A:$D,4,FALSE))</f>
        <v>0.56000000000000005</v>
      </c>
      <c r="J46" s="77">
        <f t="shared" si="2"/>
        <v>0.56000000000000005</v>
      </c>
      <c r="K46" s="78"/>
    </row>
    <row r="47" spans="1:13" ht="30" customHeight="1" x14ac:dyDescent="0.25">
      <c r="A47" s="16" t="s">
        <v>114</v>
      </c>
      <c r="B47" s="19">
        <v>43491</v>
      </c>
      <c r="C47" s="74" t="str">
        <f>VLOOKUP(B47,IF(A47="COMPOSICAO",S!$A:$D,I!$A:$D),2,FALSE)</f>
        <v>EPI - FAMILIA SERVENTE - HORISTA (ENCARGOS COMPLEMENTARES - COLETADO CAIXA)</v>
      </c>
      <c r="D47" s="74"/>
      <c r="E47" s="74"/>
      <c r="F47" s="74"/>
      <c r="G47" s="16" t="str">
        <f>VLOOKUP(B47,IF(A47="COMPOSICAO",S!$A:$D,I!$A:$D),3,FALSE)</f>
        <v>H</v>
      </c>
      <c r="H47" s="17">
        <v>1</v>
      </c>
      <c r="I47" s="17">
        <f>IF(A47="COMPOSICAO",VLOOKUP("TOTAL - "&amp;B47,COMPOSICAO_AUX_2!$A:$J,10,FALSE),VLOOKUP(B47,I!$A:$D,4,FALSE))</f>
        <v>1.1499999999999999</v>
      </c>
      <c r="J47" s="77">
        <f t="shared" si="2"/>
        <v>1.1499999999999999</v>
      </c>
      <c r="K47" s="78"/>
    </row>
    <row r="48" spans="1:13" ht="30" customHeight="1" x14ac:dyDescent="0.25">
      <c r="A48" s="16" t="s">
        <v>115</v>
      </c>
      <c r="B48" s="19">
        <v>95378</v>
      </c>
      <c r="C48" s="74" t="str">
        <f>VLOOKUP(B48,IF(A48="COMPOSICAO",S!$A:$D,I!$A:$D),2,FALSE)</f>
        <v>CURSO DE CAPACITAÇÃO PARA SERVENTE (ENCARGOS COMPLEMENTARES) - HORISTA</v>
      </c>
      <c r="D48" s="74"/>
      <c r="E48" s="74"/>
      <c r="F48" s="74"/>
      <c r="G48" s="16" t="str">
        <f>VLOOKUP(B48,IF(A48="COMPOSICAO",S!$A:$D,I!$A:$D),3,FALSE)</f>
        <v>H</v>
      </c>
      <c r="H48" s="17">
        <v>1</v>
      </c>
      <c r="I48" s="17">
        <f>IF(A48="COMPOSICAO",VLOOKUP("TOTAL - "&amp;B48,COMPOSICAO_AUX_2!$A:$J,10,FALSE),VLOOKUP(B48,I!$A:$D,4,FALSE))</f>
        <v>0.18</v>
      </c>
      <c r="J48" s="77">
        <f t="shared" si="2"/>
        <v>0.18</v>
      </c>
      <c r="K48" s="78"/>
    </row>
    <row r="49" spans="1:13" ht="15" customHeight="1" x14ac:dyDescent="0.25">
      <c r="A49" s="23" t="s">
        <v>156</v>
      </c>
      <c r="B49" s="24"/>
      <c r="C49" s="24"/>
      <c r="D49" s="24"/>
      <c r="E49" s="24"/>
      <c r="F49" s="24"/>
      <c r="G49" s="25"/>
      <c r="H49" s="26"/>
      <c r="I49" s="27"/>
      <c r="J49" s="77">
        <f>SUM(J40:K48)</f>
        <v>16.329999999999998</v>
      </c>
      <c r="K49" s="78"/>
    </row>
    <row r="50" spans="1:13" ht="15" customHeight="1" x14ac:dyDescent="0.25">
      <c r="A50" s="3"/>
      <c r="B50" s="3"/>
      <c r="C50" s="3"/>
      <c r="D50" s="3"/>
      <c r="E50" s="3"/>
      <c r="F50" s="3"/>
      <c r="G50" s="3"/>
      <c r="H50" s="3"/>
      <c r="I50" s="3"/>
      <c r="J50" s="3"/>
      <c r="K50" s="3"/>
    </row>
    <row r="51" spans="1:13" ht="15" customHeight="1" x14ac:dyDescent="0.25">
      <c r="A51" s="10" t="s">
        <v>110</v>
      </c>
      <c r="B51" s="10" t="s">
        <v>31</v>
      </c>
      <c r="C51" s="79" t="s">
        <v>8</v>
      </c>
      <c r="D51" s="80"/>
      <c r="E51" s="80"/>
      <c r="F51" s="80"/>
      <c r="G51" s="6" t="s">
        <v>32</v>
      </c>
      <c r="H51" s="6" t="s">
        <v>111</v>
      </c>
      <c r="I51" s="6" t="s">
        <v>112</v>
      </c>
      <c r="J51" s="51" t="s">
        <v>10</v>
      </c>
      <c r="K51" s="52"/>
    </row>
    <row r="52" spans="1:13" ht="30" customHeight="1" x14ac:dyDescent="0.25">
      <c r="A52" s="6" t="s">
        <v>113</v>
      </c>
      <c r="B52" s="20">
        <v>88267</v>
      </c>
      <c r="C52" s="81" t="str">
        <f>VLOOKUP(B52,S!$A:$D,2,FALSE)</f>
        <v>ENCANADOR OU BOMBEIRO HIDRÁULICO COM ENCARGOS COMPLEMENTARES</v>
      </c>
      <c r="D52" s="81"/>
      <c r="E52" s="81"/>
      <c r="F52" s="82"/>
      <c r="G52" s="6" t="str">
        <f>VLOOKUP(B52,S!$A:$D,3,FALSE)</f>
        <v>H</v>
      </c>
      <c r="H52" s="21"/>
      <c r="I52" s="21">
        <f>J61</f>
        <v>20.23</v>
      </c>
      <c r="J52" s="73"/>
      <c r="K52" s="69"/>
      <c r="L52" s="21">
        <f>VLOOKUP(B52,S!$A:$D,4,FALSE)</f>
        <v>20.23</v>
      </c>
      <c r="M52" s="6" t="str">
        <f>IF(ROUND((L52-I52),2)=0,"OK, confere com a tabela.",IF(ROUND((L52-I52),2)&lt;0,"ACIMA ("&amp;TEXT(ROUND(I52*100/L52,4),"0,0000")&amp;" %) da tabela.","ABAIXO ("&amp;TEXT(ROUND(I52*100/L52,4),"0,0000")&amp;" %) da tabela."))</f>
        <v>OK, confere com a tabela.</v>
      </c>
    </row>
    <row r="53" spans="1:13" ht="15" customHeight="1" x14ac:dyDescent="0.25">
      <c r="A53" s="16" t="s">
        <v>114</v>
      </c>
      <c r="B53" s="19">
        <v>2696</v>
      </c>
      <c r="C53" s="74" t="str">
        <f>VLOOKUP(B53,IF(A53="COMPOSICAO",S!$A:$D,I!$A:$D),2,FALSE)</f>
        <v>ENCANADOR OU BOMBEIRO HIDRAULICO</v>
      </c>
      <c r="D53" s="74"/>
      <c r="E53" s="74"/>
      <c r="F53" s="74"/>
      <c r="G53" s="16" t="str">
        <f>VLOOKUP(B53,IF(A53="COMPOSICAO",S!$A:$D,I!$A:$D),3,FALSE)</f>
        <v>H</v>
      </c>
      <c r="H53" s="17">
        <v>1</v>
      </c>
      <c r="I53" s="17">
        <f>IF(A53="COMPOSICAO",VLOOKUP("TOTAL - "&amp;B53,COMPOSICAO_AUX_2!$A:$J,10,FALSE),VLOOKUP(B53,I!$A:$D,4,FALSE))</f>
        <v>14.91</v>
      </c>
      <c r="J53" s="77">
        <f t="shared" ref="J53:J60" si="3">TRUNC(H53*I53,2)</f>
        <v>14.91</v>
      </c>
      <c r="K53" s="78"/>
    </row>
    <row r="54" spans="1:13" ht="15" customHeight="1" x14ac:dyDescent="0.25">
      <c r="A54" s="16" t="s">
        <v>114</v>
      </c>
      <c r="B54" s="19">
        <v>37370</v>
      </c>
      <c r="C54" s="74" t="str">
        <f>VLOOKUP(B54,IF(A54="COMPOSICAO",S!$A:$D,I!$A:$D),2,FALSE)</f>
        <v>ALIMENTACAO - HORISTA (COLETADO CAIXA)</v>
      </c>
      <c r="D54" s="74"/>
      <c r="E54" s="74"/>
      <c r="F54" s="74"/>
      <c r="G54" s="16" t="str">
        <f>VLOOKUP(B54,IF(A54="COMPOSICAO",S!$A:$D,I!$A:$D),3,FALSE)</f>
        <v>H</v>
      </c>
      <c r="H54" s="17">
        <v>1</v>
      </c>
      <c r="I54" s="17">
        <f>IF(A54="COMPOSICAO",VLOOKUP("TOTAL - "&amp;B54,COMPOSICAO_AUX_2!$A:$J,10,FALSE),VLOOKUP(B54,I!$A:$D,4,FALSE))</f>
        <v>2.29</v>
      </c>
      <c r="J54" s="77">
        <f t="shared" si="3"/>
        <v>2.29</v>
      </c>
      <c r="K54" s="78"/>
    </row>
    <row r="55" spans="1:13" ht="15" customHeight="1" x14ac:dyDescent="0.25">
      <c r="A55" s="16" t="s">
        <v>114</v>
      </c>
      <c r="B55" s="19">
        <v>37371</v>
      </c>
      <c r="C55" s="74" t="str">
        <f>VLOOKUP(B55,IF(A55="COMPOSICAO",S!$A:$D,I!$A:$D),2,FALSE)</f>
        <v>TRANSPORTE - HORISTA (COLETADO CAIXA)</v>
      </c>
      <c r="D55" s="74"/>
      <c r="E55" s="74"/>
      <c r="F55" s="74"/>
      <c r="G55" s="16" t="str">
        <f>VLOOKUP(B55,IF(A55="COMPOSICAO",S!$A:$D,I!$A:$D),3,FALSE)</f>
        <v>H</v>
      </c>
      <c r="H55" s="17">
        <v>1</v>
      </c>
      <c r="I55" s="17">
        <f>IF(A55="COMPOSICAO",VLOOKUP("TOTAL - "&amp;B55,COMPOSICAO_AUX_2!$A:$J,10,FALSE),VLOOKUP(B55,I!$A:$D,4,FALSE))</f>
        <v>0.69</v>
      </c>
      <c r="J55" s="77">
        <f t="shared" si="3"/>
        <v>0.69</v>
      </c>
      <c r="K55" s="78"/>
    </row>
    <row r="56" spans="1:13" ht="15" customHeight="1" x14ac:dyDescent="0.25">
      <c r="A56" s="16" t="s">
        <v>114</v>
      </c>
      <c r="B56" s="19">
        <v>37372</v>
      </c>
      <c r="C56" s="74" t="str">
        <f>VLOOKUP(B56,IF(A56="COMPOSICAO",S!$A:$D,I!$A:$D),2,FALSE)</f>
        <v>EXAMES - HORISTA (COLETADO CAIXA)</v>
      </c>
      <c r="D56" s="74"/>
      <c r="E56" s="74"/>
      <c r="F56" s="74"/>
      <c r="G56" s="16" t="str">
        <f>VLOOKUP(B56,IF(A56="COMPOSICAO",S!$A:$D,I!$A:$D),3,FALSE)</f>
        <v>H</v>
      </c>
      <c r="H56" s="17">
        <v>1</v>
      </c>
      <c r="I56" s="17">
        <f>IF(A56="COMPOSICAO",VLOOKUP("TOTAL - "&amp;B56,COMPOSICAO_AUX_2!$A:$J,10,FALSE),VLOOKUP(B56,I!$A:$D,4,FALSE))</f>
        <v>0.81</v>
      </c>
      <c r="J56" s="77">
        <f t="shared" si="3"/>
        <v>0.81</v>
      </c>
      <c r="K56" s="78"/>
    </row>
    <row r="57" spans="1:13" ht="15" customHeight="1" x14ac:dyDescent="0.25">
      <c r="A57" s="16" t="s">
        <v>114</v>
      </c>
      <c r="B57" s="19">
        <v>37373</v>
      </c>
      <c r="C57" s="74" t="str">
        <f>VLOOKUP(B57,IF(A57="COMPOSICAO",S!$A:$D,I!$A:$D),2,FALSE)</f>
        <v>SEGURO - HORISTA (COLETADO CAIXA)</v>
      </c>
      <c r="D57" s="74"/>
      <c r="E57" s="74"/>
      <c r="F57" s="74"/>
      <c r="G57" s="16" t="str">
        <f>VLOOKUP(B57,IF(A57="COMPOSICAO",S!$A:$D,I!$A:$D),3,FALSE)</f>
        <v>H</v>
      </c>
      <c r="H57" s="17">
        <v>1</v>
      </c>
      <c r="I57" s="17">
        <f>IF(A57="COMPOSICAO",VLOOKUP("TOTAL - "&amp;B57,COMPOSICAO_AUX_2!$A:$J,10,FALSE),VLOOKUP(B57,I!$A:$D,4,FALSE))</f>
        <v>0.06</v>
      </c>
      <c r="J57" s="77">
        <f t="shared" si="3"/>
        <v>0.06</v>
      </c>
      <c r="K57" s="78"/>
    </row>
    <row r="58" spans="1:13" ht="30" customHeight="1" x14ac:dyDescent="0.25">
      <c r="A58" s="16" t="s">
        <v>114</v>
      </c>
      <c r="B58" s="19">
        <v>43461</v>
      </c>
      <c r="C58" s="74" t="str">
        <f>VLOOKUP(B58,IF(A58="COMPOSICAO",S!$A:$D,I!$A:$D),2,FALSE)</f>
        <v>FERRAMENTAS - FAMILIA ENCANADOR - HORISTA (ENCARGOS COMPLEMENTARES - COLETADO CAIXA)</v>
      </c>
      <c r="D58" s="74"/>
      <c r="E58" s="74"/>
      <c r="F58" s="74"/>
      <c r="G58" s="16" t="str">
        <f>VLOOKUP(B58,IF(A58="COMPOSICAO",S!$A:$D,I!$A:$D),3,FALSE)</f>
        <v>H</v>
      </c>
      <c r="H58" s="17">
        <v>1</v>
      </c>
      <c r="I58" s="17">
        <f>IF(A58="COMPOSICAO",VLOOKUP("TOTAL - "&amp;B58,COMPOSICAO_AUX_2!$A:$J,10,FALSE),VLOOKUP(B58,I!$A:$D,4,FALSE))</f>
        <v>0.32</v>
      </c>
      <c r="J58" s="77">
        <f t="shared" si="3"/>
        <v>0.32</v>
      </c>
      <c r="K58" s="78"/>
    </row>
    <row r="59" spans="1:13" ht="30" customHeight="1" x14ac:dyDescent="0.25">
      <c r="A59" s="16" t="s">
        <v>114</v>
      </c>
      <c r="B59" s="19">
        <v>43485</v>
      </c>
      <c r="C59" s="74" t="str">
        <f>VLOOKUP(B59,IF(A59="COMPOSICAO",S!$A:$D,I!$A:$D),2,FALSE)</f>
        <v>EPI - FAMILIA ENCANADOR - HORISTA (ENCARGOS COMPLEMENTARES - COLETADO CAIXA)</v>
      </c>
      <c r="D59" s="74"/>
      <c r="E59" s="74"/>
      <c r="F59" s="74"/>
      <c r="G59" s="16" t="str">
        <f>VLOOKUP(B59,IF(A59="COMPOSICAO",S!$A:$D,I!$A:$D),3,FALSE)</f>
        <v>H</v>
      </c>
      <c r="H59" s="17">
        <v>1</v>
      </c>
      <c r="I59" s="17">
        <f>IF(A59="COMPOSICAO",VLOOKUP("TOTAL - "&amp;B59,COMPOSICAO_AUX_2!$A:$J,10,FALSE),VLOOKUP(B59,I!$A:$D,4,FALSE))</f>
        <v>0.94</v>
      </c>
      <c r="J59" s="77">
        <f t="shared" si="3"/>
        <v>0.94</v>
      </c>
      <c r="K59" s="78"/>
    </row>
    <row r="60" spans="1:13" ht="45" customHeight="1" x14ac:dyDescent="0.25">
      <c r="A60" s="16" t="s">
        <v>115</v>
      </c>
      <c r="B60" s="19">
        <v>95335</v>
      </c>
      <c r="C60" s="74" t="str">
        <f>VLOOKUP(B60,IF(A60="COMPOSICAO",S!$A:$D,I!$A:$D),2,FALSE)</f>
        <v>CURSO DE CAPACITAÇÃO PARA ENCANADOR OU BOMBEIRO HIDRÁULICO (ENCARGOS COMPLEMENTARES) - HORISTA</v>
      </c>
      <c r="D60" s="74"/>
      <c r="E60" s="74"/>
      <c r="F60" s="74"/>
      <c r="G60" s="16" t="str">
        <f>VLOOKUP(B60,IF(A60="COMPOSICAO",S!$A:$D,I!$A:$D),3,FALSE)</f>
        <v>H</v>
      </c>
      <c r="H60" s="17">
        <v>1</v>
      </c>
      <c r="I60" s="17">
        <f>IF(A60="COMPOSICAO",VLOOKUP("TOTAL - "&amp;B60,COMPOSICAO_AUX_2!$A:$J,10,FALSE),VLOOKUP(B60,I!$A:$D,4,FALSE))</f>
        <v>0.21</v>
      </c>
      <c r="J60" s="77">
        <f t="shared" si="3"/>
        <v>0.21</v>
      </c>
      <c r="K60" s="78"/>
    </row>
    <row r="61" spans="1:13" ht="15" customHeight="1" x14ac:dyDescent="0.25">
      <c r="A61" s="23" t="s">
        <v>157</v>
      </c>
      <c r="B61" s="24"/>
      <c r="C61" s="24"/>
      <c r="D61" s="24"/>
      <c r="E61" s="24"/>
      <c r="F61" s="24"/>
      <c r="G61" s="25"/>
      <c r="H61" s="26"/>
      <c r="I61" s="27"/>
      <c r="J61" s="77">
        <f>SUM(J52:K60)</f>
        <v>20.23</v>
      </c>
      <c r="K61" s="78"/>
    </row>
    <row r="62" spans="1:13" ht="15" customHeight="1" x14ac:dyDescent="0.25">
      <c r="A62" s="3"/>
      <c r="B62" s="3"/>
      <c r="C62" s="3"/>
      <c r="D62" s="3"/>
      <c r="E62" s="3"/>
      <c r="F62" s="3"/>
      <c r="G62" s="3"/>
      <c r="H62" s="3"/>
      <c r="I62" s="3"/>
      <c r="J62" s="3"/>
      <c r="K62" s="3"/>
    </row>
    <row r="63" spans="1:13" ht="15" customHeight="1" x14ac:dyDescent="0.25">
      <c r="A63" s="10" t="s">
        <v>110</v>
      </c>
      <c r="B63" s="10" t="s">
        <v>31</v>
      </c>
      <c r="C63" s="79" t="s">
        <v>8</v>
      </c>
      <c r="D63" s="80"/>
      <c r="E63" s="80"/>
      <c r="F63" s="80"/>
      <c r="G63" s="6" t="s">
        <v>32</v>
      </c>
      <c r="H63" s="6" t="s">
        <v>111</v>
      </c>
      <c r="I63" s="6" t="s">
        <v>112</v>
      </c>
      <c r="J63" s="51" t="s">
        <v>10</v>
      </c>
      <c r="K63" s="52"/>
    </row>
    <row r="64" spans="1:13" ht="30" customHeight="1" x14ac:dyDescent="0.25">
      <c r="A64" s="6" t="s">
        <v>113</v>
      </c>
      <c r="B64" s="20">
        <v>88278</v>
      </c>
      <c r="C64" s="81" t="str">
        <f>VLOOKUP(B64,S!$A:$D,2,FALSE)</f>
        <v>MONTADOR DE ESTRUTURA METÁLICA COM ENCARGOS COMPLEMENTARES</v>
      </c>
      <c r="D64" s="81"/>
      <c r="E64" s="81"/>
      <c r="F64" s="82"/>
      <c r="G64" s="6" t="str">
        <f>VLOOKUP(B64,S!$A:$D,3,FALSE)</f>
        <v>H</v>
      </c>
      <c r="H64" s="21"/>
      <c r="I64" s="21">
        <f>J73</f>
        <v>20.560000000000002</v>
      </c>
      <c r="J64" s="73"/>
      <c r="K64" s="69"/>
      <c r="L64" s="21">
        <f>VLOOKUP(B64,S!$A:$D,4,FALSE)</f>
        <v>20.56</v>
      </c>
      <c r="M64" s="6" t="str">
        <f>IF(ROUND((L64-I64),2)=0,"OK, confere com a tabela.",IF(ROUND((L64-I64),2)&lt;0,"ACIMA ("&amp;TEXT(ROUND(I64*100/L64,4),"0,0000")&amp;" %) da tabela.","ABAIXO ("&amp;TEXT(ROUND(I64*100/L64,4),"0,0000")&amp;" %) da tabela."))</f>
        <v>OK, confere com a tabela.</v>
      </c>
    </row>
    <row r="65" spans="1:13" ht="15" customHeight="1" x14ac:dyDescent="0.25">
      <c r="A65" s="16" t="s">
        <v>114</v>
      </c>
      <c r="B65" s="19">
        <v>37370</v>
      </c>
      <c r="C65" s="74" t="str">
        <f>VLOOKUP(B65,IF(A65="COMPOSICAO",S!$A:$D,I!$A:$D),2,FALSE)</f>
        <v>ALIMENTACAO - HORISTA (COLETADO CAIXA)</v>
      </c>
      <c r="D65" s="74"/>
      <c r="E65" s="74"/>
      <c r="F65" s="74"/>
      <c r="G65" s="16" t="str">
        <f>VLOOKUP(B65,IF(A65="COMPOSICAO",S!$A:$D,I!$A:$D),3,FALSE)</f>
        <v>H</v>
      </c>
      <c r="H65" s="17">
        <v>1</v>
      </c>
      <c r="I65" s="17">
        <f>IF(A65="COMPOSICAO",VLOOKUP("TOTAL - "&amp;B65,COMPOSICAO_AUX_2!$A:$J,10,FALSE),VLOOKUP(B65,I!$A:$D,4,FALSE))</f>
        <v>2.29</v>
      </c>
      <c r="J65" s="77">
        <f t="shared" ref="J65:J72" si="4">TRUNC(H65*I65,2)</f>
        <v>2.29</v>
      </c>
      <c r="K65" s="78"/>
    </row>
    <row r="66" spans="1:13" ht="15" customHeight="1" x14ac:dyDescent="0.25">
      <c r="A66" s="16" t="s">
        <v>114</v>
      </c>
      <c r="B66" s="19">
        <v>37371</v>
      </c>
      <c r="C66" s="74" t="str">
        <f>VLOOKUP(B66,IF(A66="COMPOSICAO",S!$A:$D,I!$A:$D),2,FALSE)</f>
        <v>TRANSPORTE - HORISTA (COLETADO CAIXA)</v>
      </c>
      <c r="D66" s="74"/>
      <c r="E66" s="74"/>
      <c r="F66" s="74"/>
      <c r="G66" s="16" t="str">
        <f>VLOOKUP(B66,IF(A66="COMPOSICAO",S!$A:$D,I!$A:$D),3,FALSE)</f>
        <v>H</v>
      </c>
      <c r="H66" s="17">
        <v>1</v>
      </c>
      <c r="I66" s="17">
        <f>IF(A66="COMPOSICAO",VLOOKUP("TOTAL - "&amp;B66,COMPOSICAO_AUX_2!$A:$J,10,FALSE),VLOOKUP(B66,I!$A:$D,4,FALSE))</f>
        <v>0.69</v>
      </c>
      <c r="J66" s="77">
        <f t="shared" si="4"/>
        <v>0.69</v>
      </c>
      <c r="K66" s="78"/>
    </row>
    <row r="67" spans="1:13" ht="15" customHeight="1" x14ac:dyDescent="0.25">
      <c r="A67" s="16" t="s">
        <v>114</v>
      </c>
      <c r="B67" s="19">
        <v>37372</v>
      </c>
      <c r="C67" s="74" t="str">
        <f>VLOOKUP(B67,IF(A67="COMPOSICAO",S!$A:$D,I!$A:$D),2,FALSE)</f>
        <v>EXAMES - HORISTA (COLETADO CAIXA)</v>
      </c>
      <c r="D67" s="74"/>
      <c r="E67" s="74"/>
      <c r="F67" s="74"/>
      <c r="G67" s="16" t="str">
        <f>VLOOKUP(B67,IF(A67="COMPOSICAO",S!$A:$D,I!$A:$D),3,FALSE)</f>
        <v>H</v>
      </c>
      <c r="H67" s="17">
        <v>1</v>
      </c>
      <c r="I67" s="17">
        <f>IF(A67="COMPOSICAO",VLOOKUP("TOTAL - "&amp;B67,COMPOSICAO_AUX_2!$A:$J,10,FALSE),VLOOKUP(B67,I!$A:$D,4,FALSE))</f>
        <v>0.81</v>
      </c>
      <c r="J67" s="77">
        <f t="shared" si="4"/>
        <v>0.81</v>
      </c>
      <c r="K67" s="78"/>
    </row>
    <row r="68" spans="1:13" ht="15" customHeight="1" x14ac:dyDescent="0.25">
      <c r="A68" s="16" t="s">
        <v>114</v>
      </c>
      <c r="B68" s="19">
        <v>37373</v>
      </c>
      <c r="C68" s="74" t="str">
        <f>VLOOKUP(B68,IF(A68="COMPOSICAO",S!$A:$D,I!$A:$D),2,FALSE)</f>
        <v>SEGURO - HORISTA (COLETADO CAIXA)</v>
      </c>
      <c r="D68" s="74"/>
      <c r="E68" s="74"/>
      <c r="F68" s="74"/>
      <c r="G68" s="16" t="str">
        <f>VLOOKUP(B68,IF(A68="COMPOSICAO",S!$A:$D,I!$A:$D),3,FALSE)</f>
        <v>H</v>
      </c>
      <c r="H68" s="17">
        <v>1</v>
      </c>
      <c r="I68" s="17">
        <f>IF(A68="COMPOSICAO",VLOOKUP("TOTAL - "&amp;B68,COMPOSICAO_AUX_2!$A:$J,10,FALSE),VLOOKUP(B68,I!$A:$D,4,FALSE))</f>
        <v>0.06</v>
      </c>
      <c r="J68" s="77">
        <f t="shared" si="4"/>
        <v>0.06</v>
      </c>
      <c r="K68" s="78"/>
    </row>
    <row r="69" spans="1:13" ht="45" customHeight="1" x14ac:dyDescent="0.25">
      <c r="A69" s="16" t="s">
        <v>114</v>
      </c>
      <c r="B69" s="19">
        <v>43464</v>
      </c>
      <c r="C69" s="74" t="str">
        <f>VLOOKUP(B69,IF(A69="COMPOSICAO",S!$A:$D,I!$A:$D),2,FALSE)</f>
        <v>FERRAMENTAS - FAMILIA OPERADOR ESCAVADEIRA - HORISTA (ENCARGOS COMPLEMENTARES - COLETADO CAIXA)</v>
      </c>
      <c r="D69" s="74"/>
      <c r="E69" s="74"/>
      <c r="F69" s="74"/>
      <c r="G69" s="16" t="str">
        <f>VLOOKUP(B69,IF(A69="COMPOSICAO",S!$A:$D,I!$A:$D),3,FALSE)</f>
        <v>H</v>
      </c>
      <c r="H69" s="17">
        <v>1</v>
      </c>
      <c r="I69" s="17">
        <f>IF(A69="COMPOSICAO",VLOOKUP("TOTAL - "&amp;B69,COMPOSICAO_AUX_2!$A:$J,10,FALSE),VLOOKUP(B69,I!$A:$D,4,FALSE))</f>
        <v>0.01</v>
      </c>
      <c r="J69" s="77">
        <f t="shared" si="4"/>
        <v>0.01</v>
      </c>
      <c r="K69" s="78"/>
    </row>
    <row r="70" spans="1:13" ht="30" customHeight="1" x14ac:dyDescent="0.25">
      <c r="A70" s="16" t="s">
        <v>114</v>
      </c>
      <c r="B70" s="19">
        <v>43488</v>
      </c>
      <c r="C70" s="74" t="str">
        <f>VLOOKUP(B70,IF(A70="COMPOSICAO",S!$A:$D,I!$A:$D),2,FALSE)</f>
        <v>EPI - FAMILIA OPERADOR ESCAVADEIRA - HORISTA (ENCARGOS COMPLEMENTARES - COLETADO CAIXA)</v>
      </c>
      <c r="D70" s="74"/>
      <c r="E70" s="74"/>
      <c r="F70" s="74"/>
      <c r="G70" s="16" t="str">
        <f>VLOOKUP(B70,IF(A70="COMPOSICAO",S!$A:$D,I!$A:$D),3,FALSE)</f>
        <v>H</v>
      </c>
      <c r="H70" s="17">
        <v>1</v>
      </c>
      <c r="I70" s="17">
        <f>IF(A70="COMPOSICAO",VLOOKUP("TOTAL - "&amp;B70,COMPOSICAO_AUX_2!$A:$J,10,FALSE),VLOOKUP(B70,I!$A:$D,4,FALSE))</f>
        <v>0.76</v>
      </c>
      <c r="J70" s="77">
        <f t="shared" si="4"/>
        <v>0.76</v>
      </c>
      <c r="K70" s="78"/>
    </row>
    <row r="71" spans="1:13" ht="15" customHeight="1" x14ac:dyDescent="0.25">
      <c r="A71" s="16" t="s">
        <v>114</v>
      </c>
      <c r="B71" s="19">
        <v>44497</v>
      </c>
      <c r="C71" s="74" t="str">
        <f>VLOOKUP(B71,IF(A71="COMPOSICAO",S!$A:$D,I!$A:$D),2,FALSE)</f>
        <v>MONTADOR DE ESTRUTURAS METALICAS HORISTA</v>
      </c>
      <c r="D71" s="74"/>
      <c r="E71" s="74"/>
      <c r="F71" s="74"/>
      <c r="G71" s="16" t="str">
        <f>VLOOKUP(B71,IF(A71="COMPOSICAO",S!$A:$D,I!$A:$D),3,FALSE)</f>
        <v>H</v>
      </c>
      <c r="H71" s="17">
        <v>1</v>
      </c>
      <c r="I71" s="17">
        <f>IF(A71="COMPOSICAO",VLOOKUP("TOTAL - "&amp;B71,COMPOSICAO_AUX_2!$A:$J,10,FALSE),VLOOKUP(B71,I!$A:$D,4,FALSE))</f>
        <v>15.8</v>
      </c>
      <c r="J71" s="77">
        <f t="shared" si="4"/>
        <v>15.8</v>
      </c>
      <c r="K71" s="78"/>
    </row>
    <row r="72" spans="1:13" ht="45" customHeight="1" x14ac:dyDescent="0.25">
      <c r="A72" s="16" t="s">
        <v>115</v>
      </c>
      <c r="B72" s="19">
        <v>95344</v>
      </c>
      <c r="C72" s="74" t="str">
        <f>VLOOKUP(B72,IF(A72="COMPOSICAO",S!$A:$D,I!$A:$D),2,FALSE)</f>
        <v>CURSO DE CAPACITAÇÃO PARA MONTADOR DE ESTRUTURA METÁLICA (ENCARGOS COMPLEMENTARES) - HORISTA</v>
      </c>
      <c r="D72" s="74"/>
      <c r="E72" s="74"/>
      <c r="F72" s="74"/>
      <c r="G72" s="16" t="str">
        <f>VLOOKUP(B72,IF(A72="COMPOSICAO",S!$A:$D,I!$A:$D),3,FALSE)</f>
        <v>H</v>
      </c>
      <c r="H72" s="17">
        <v>1</v>
      </c>
      <c r="I72" s="17">
        <f>IF(A72="COMPOSICAO",VLOOKUP("TOTAL - "&amp;B72,COMPOSICAO_AUX_2!$A:$J,10,FALSE),VLOOKUP(B72,I!$A:$D,4,FALSE))</f>
        <v>0.14000000000000001</v>
      </c>
      <c r="J72" s="77">
        <f t="shared" si="4"/>
        <v>0.14000000000000001</v>
      </c>
      <c r="K72" s="78"/>
    </row>
    <row r="73" spans="1:13" ht="15" customHeight="1" x14ac:dyDescent="0.25">
      <c r="A73" s="23" t="s">
        <v>158</v>
      </c>
      <c r="B73" s="24"/>
      <c r="C73" s="24"/>
      <c r="D73" s="24"/>
      <c r="E73" s="24"/>
      <c r="F73" s="24"/>
      <c r="G73" s="25"/>
      <c r="H73" s="26"/>
      <c r="I73" s="27"/>
      <c r="J73" s="77">
        <f>SUM(J64:K72)</f>
        <v>20.560000000000002</v>
      </c>
      <c r="K73" s="78"/>
    </row>
    <row r="74" spans="1:13" ht="15" customHeight="1" x14ac:dyDescent="0.25">
      <c r="A74" s="3"/>
      <c r="B74" s="3"/>
      <c r="C74" s="3"/>
      <c r="D74" s="3"/>
      <c r="E74" s="3"/>
      <c r="F74" s="3"/>
      <c r="G74" s="3"/>
      <c r="H74" s="3"/>
      <c r="I74" s="3"/>
      <c r="J74" s="3"/>
      <c r="K74" s="3"/>
    </row>
    <row r="75" spans="1:13" ht="15" customHeight="1" x14ac:dyDescent="0.25">
      <c r="A75" s="10" t="s">
        <v>110</v>
      </c>
      <c r="B75" s="10" t="s">
        <v>31</v>
      </c>
      <c r="C75" s="79" t="s">
        <v>8</v>
      </c>
      <c r="D75" s="80"/>
      <c r="E75" s="80"/>
      <c r="F75" s="80"/>
      <c r="G75" s="6" t="s">
        <v>32</v>
      </c>
      <c r="H75" s="6" t="s">
        <v>111</v>
      </c>
      <c r="I75" s="6" t="s">
        <v>112</v>
      </c>
      <c r="J75" s="51" t="s">
        <v>10</v>
      </c>
      <c r="K75" s="52"/>
    </row>
    <row r="76" spans="1:13" ht="15" customHeight="1" x14ac:dyDescent="0.25">
      <c r="A76" s="6" t="s">
        <v>113</v>
      </c>
      <c r="B76" s="20">
        <v>88323</v>
      </c>
      <c r="C76" s="81" t="str">
        <f>VLOOKUP(B76,S!$A:$D,2,FALSE)</f>
        <v>TELHADISTA COM ENCARGOS COMPLEMENTARES</v>
      </c>
      <c r="D76" s="81"/>
      <c r="E76" s="81"/>
      <c r="F76" s="82"/>
      <c r="G76" s="6" t="str">
        <f>VLOOKUP(B76,S!$A:$D,3,FALSE)</f>
        <v>H</v>
      </c>
      <c r="H76" s="21"/>
      <c r="I76" s="21">
        <f>J85</f>
        <v>23.509999999999998</v>
      </c>
      <c r="J76" s="73"/>
      <c r="K76" s="69"/>
      <c r="L76" s="21">
        <f>VLOOKUP(B76,S!$A:$D,4,FALSE)</f>
        <v>23.51</v>
      </c>
      <c r="M76" s="6" t="str">
        <f>IF(ROUND((L76-I76),2)=0,"OK, confere com a tabela.",IF(ROUND((L76-I76),2)&lt;0,"ACIMA ("&amp;TEXT(ROUND(I76*100/L76,4),"0,0000")&amp;" %) da tabela.","ABAIXO ("&amp;TEXT(ROUND(I76*100/L76,4),"0,0000")&amp;" %) da tabela."))</f>
        <v>OK, confere com a tabela.</v>
      </c>
    </row>
    <row r="77" spans="1:13" ht="15" customHeight="1" x14ac:dyDescent="0.25">
      <c r="A77" s="16" t="s">
        <v>114</v>
      </c>
      <c r="B77" s="19">
        <v>12869</v>
      </c>
      <c r="C77" s="74" t="str">
        <f>VLOOKUP(B77,IF(A77="COMPOSICAO",S!$A:$D,I!$A:$D),2,FALSE)</f>
        <v>TELHADOR</v>
      </c>
      <c r="D77" s="74"/>
      <c r="E77" s="74"/>
      <c r="F77" s="74"/>
      <c r="G77" s="16" t="str">
        <f>VLOOKUP(B77,IF(A77="COMPOSICAO",S!$A:$D,I!$A:$D),3,FALSE)</f>
        <v>H</v>
      </c>
      <c r="H77" s="17">
        <v>1</v>
      </c>
      <c r="I77" s="17">
        <f>IF(A77="COMPOSICAO",VLOOKUP("TOTAL - "&amp;B77,COMPOSICAO_AUX_2!$A:$J,10,FALSE),VLOOKUP(B77,I!$A:$D,4,FALSE))</f>
        <v>17.79</v>
      </c>
      <c r="J77" s="77">
        <f t="shared" ref="J77:J84" si="5">TRUNC(H77*I77,2)</f>
        <v>17.79</v>
      </c>
      <c r="K77" s="78"/>
    </row>
    <row r="78" spans="1:13" ht="15" customHeight="1" x14ac:dyDescent="0.25">
      <c r="A78" s="16" t="s">
        <v>114</v>
      </c>
      <c r="B78" s="19">
        <v>37370</v>
      </c>
      <c r="C78" s="74" t="str">
        <f>VLOOKUP(B78,IF(A78="COMPOSICAO",S!$A:$D,I!$A:$D),2,FALSE)</f>
        <v>ALIMENTACAO - HORISTA (COLETADO CAIXA)</v>
      </c>
      <c r="D78" s="74"/>
      <c r="E78" s="74"/>
      <c r="F78" s="74"/>
      <c r="G78" s="16" t="str">
        <f>VLOOKUP(B78,IF(A78="COMPOSICAO",S!$A:$D,I!$A:$D),3,FALSE)</f>
        <v>H</v>
      </c>
      <c r="H78" s="17">
        <v>1</v>
      </c>
      <c r="I78" s="17">
        <f>IF(A78="COMPOSICAO",VLOOKUP("TOTAL - "&amp;B78,COMPOSICAO_AUX_2!$A:$J,10,FALSE),VLOOKUP(B78,I!$A:$D,4,FALSE))</f>
        <v>2.29</v>
      </c>
      <c r="J78" s="77">
        <f t="shared" si="5"/>
        <v>2.29</v>
      </c>
      <c r="K78" s="78"/>
    </row>
    <row r="79" spans="1:13" ht="15" customHeight="1" x14ac:dyDescent="0.25">
      <c r="A79" s="16" t="s">
        <v>114</v>
      </c>
      <c r="B79" s="19">
        <v>37371</v>
      </c>
      <c r="C79" s="74" t="str">
        <f>VLOOKUP(B79,IF(A79="COMPOSICAO",S!$A:$D,I!$A:$D),2,FALSE)</f>
        <v>TRANSPORTE - HORISTA (COLETADO CAIXA)</v>
      </c>
      <c r="D79" s="74"/>
      <c r="E79" s="74"/>
      <c r="F79" s="74"/>
      <c r="G79" s="16" t="str">
        <f>VLOOKUP(B79,IF(A79="COMPOSICAO",S!$A:$D,I!$A:$D),3,FALSE)</f>
        <v>H</v>
      </c>
      <c r="H79" s="17">
        <v>1</v>
      </c>
      <c r="I79" s="17">
        <f>IF(A79="COMPOSICAO",VLOOKUP("TOTAL - "&amp;B79,COMPOSICAO_AUX_2!$A:$J,10,FALSE),VLOOKUP(B79,I!$A:$D,4,FALSE))</f>
        <v>0.69</v>
      </c>
      <c r="J79" s="77">
        <f t="shared" si="5"/>
        <v>0.69</v>
      </c>
      <c r="K79" s="78"/>
    </row>
    <row r="80" spans="1:13" ht="15" customHeight="1" x14ac:dyDescent="0.25">
      <c r="A80" s="16" t="s">
        <v>114</v>
      </c>
      <c r="B80" s="19">
        <v>37372</v>
      </c>
      <c r="C80" s="74" t="str">
        <f>VLOOKUP(B80,IF(A80="COMPOSICAO",S!$A:$D,I!$A:$D),2,FALSE)</f>
        <v>EXAMES - HORISTA (COLETADO CAIXA)</v>
      </c>
      <c r="D80" s="74"/>
      <c r="E80" s="74"/>
      <c r="F80" s="74"/>
      <c r="G80" s="16" t="str">
        <f>VLOOKUP(B80,IF(A80="COMPOSICAO",S!$A:$D,I!$A:$D),3,FALSE)</f>
        <v>H</v>
      </c>
      <c r="H80" s="17">
        <v>1</v>
      </c>
      <c r="I80" s="17">
        <f>IF(A80="COMPOSICAO",VLOOKUP("TOTAL - "&amp;B80,COMPOSICAO_AUX_2!$A:$J,10,FALSE),VLOOKUP(B80,I!$A:$D,4,FALSE))</f>
        <v>0.81</v>
      </c>
      <c r="J80" s="77">
        <f t="shared" si="5"/>
        <v>0.81</v>
      </c>
      <c r="K80" s="78"/>
    </row>
    <row r="81" spans="1:13" ht="15" customHeight="1" x14ac:dyDescent="0.25">
      <c r="A81" s="16" t="s">
        <v>114</v>
      </c>
      <c r="B81" s="19">
        <v>37373</v>
      </c>
      <c r="C81" s="74" t="str">
        <f>VLOOKUP(B81,IF(A81="COMPOSICAO",S!$A:$D,I!$A:$D),2,FALSE)</f>
        <v>SEGURO - HORISTA (COLETADO CAIXA)</v>
      </c>
      <c r="D81" s="74"/>
      <c r="E81" s="74"/>
      <c r="F81" s="74"/>
      <c r="G81" s="16" t="str">
        <f>VLOOKUP(B81,IF(A81="COMPOSICAO",S!$A:$D,I!$A:$D),3,FALSE)</f>
        <v>H</v>
      </c>
      <c r="H81" s="17">
        <v>1</v>
      </c>
      <c r="I81" s="17">
        <f>IF(A81="COMPOSICAO",VLOOKUP("TOTAL - "&amp;B81,COMPOSICAO_AUX_2!$A:$J,10,FALSE),VLOOKUP(B81,I!$A:$D,4,FALSE))</f>
        <v>0.06</v>
      </c>
      <c r="J81" s="77">
        <f t="shared" si="5"/>
        <v>0.06</v>
      </c>
      <c r="K81" s="78"/>
    </row>
    <row r="82" spans="1:13" ht="45" customHeight="1" x14ac:dyDescent="0.25">
      <c r="A82" s="16" t="s">
        <v>114</v>
      </c>
      <c r="B82" s="19">
        <v>43459</v>
      </c>
      <c r="C82" s="74" t="str">
        <f>VLOOKUP(B82,IF(A82="COMPOSICAO",S!$A:$D,I!$A:$D),2,FALSE)</f>
        <v>FERRAMENTAS - FAMILIA CARPINTEIRO DE FORMAS - HORISTA (ENCARGOS COMPLEMENTARES - COLETADO CAIXA)</v>
      </c>
      <c r="D82" s="74"/>
      <c r="E82" s="74"/>
      <c r="F82" s="74"/>
      <c r="G82" s="16" t="str">
        <f>VLOOKUP(B82,IF(A82="COMPOSICAO",S!$A:$D,I!$A:$D),3,FALSE)</f>
        <v>H</v>
      </c>
      <c r="H82" s="17">
        <v>1</v>
      </c>
      <c r="I82" s="17">
        <f>IF(A82="COMPOSICAO",VLOOKUP("TOTAL - "&amp;B82,COMPOSICAO_AUX_2!$A:$J,10,FALSE),VLOOKUP(B82,I!$A:$D,4,FALSE))</f>
        <v>0.45</v>
      </c>
      <c r="J82" s="77">
        <f t="shared" si="5"/>
        <v>0.45</v>
      </c>
      <c r="K82" s="78"/>
    </row>
    <row r="83" spans="1:13" ht="30" customHeight="1" x14ac:dyDescent="0.25">
      <c r="A83" s="16" t="s">
        <v>114</v>
      </c>
      <c r="B83" s="19">
        <v>43483</v>
      </c>
      <c r="C83" s="74" t="str">
        <f>VLOOKUP(B83,IF(A83="COMPOSICAO",S!$A:$D,I!$A:$D),2,FALSE)</f>
        <v>EPI - FAMILIA CARPINTEIRO DE FORMAS - HORISTA (ENCARGOS COMPLEMENTARES - COLETADO CAIXA)</v>
      </c>
      <c r="D83" s="74"/>
      <c r="E83" s="74"/>
      <c r="F83" s="74"/>
      <c r="G83" s="16" t="str">
        <f>VLOOKUP(B83,IF(A83="COMPOSICAO",S!$A:$D,I!$A:$D),3,FALSE)</f>
        <v>H</v>
      </c>
      <c r="H83" s="17">
        <v>1</v>
      </c>
      <c r="I83" s="17">
        <f>IF(A83="COMPOSICAO",VLOOKUP("TOTAL - "&amp;B83,COMPOSICAO_AUX_2!$A:$J,10,FALSE),VLOOKUP(B83,I!$A:$D,4,FALSE))</f>
        <v>1.26</v>
      </c>
      <c r="J83" s="77">
        <f t="shared" si="5"/>
        <v>1.26</v>
      </c>
      <c r="K83" s="78"/>
    </row>
    <row r="84" spans="1:13" ht="30" customHeight="1" x14ac:dyDescent="0.25">
      <c r="A84" s="16" t="s">
        <v>115</v>
      </c>
      <c r="B84" s="19">
        <v>95385</v>
      </c>
      <c r="C84" s="74" t="str">
        <f>VLOOKUP(B84,IF(A84="COMPOSICAO",S!$A:$D,I!$A:$D),2,FALSE)</f>
        <v>CURSO DE CAPACITAÇÃO PARA TELHADISTA (ENCARGOS COMPLEMENTARES) - HORISTA</v>
      </c>
      <c r="D84" s="74"/>
      <c r="E84" s="74"/>
      <c r="F84" s="74"/>
      <c r="G84" s="16" t="str">
        <f>VLOOKUP(B84,IF(A84="COMPOSICAO",S!$A:$D,I!$A:$D),3,FALSE)</f>
        <v>H</v>
      </c>
      <c r="H84" s="17">
        <v>1</v>
      </c>
      <c r="I84" s="17">
        <f>IF(A84="COMPOSICAO",VLOOKUP("TOTAL - "&amp;B84,COMPOSICAO_AUX_2!$A:$J,10,FALSE),VLOOKUP(B84,I!$A:$D,4,FALSE))</f>
        <v>0.16</v>
      </c>
      <c r="J84" s="77">
        <f t="shared" si="5"/>
        <v>0.16</v>
      </c>
      <c r="K84" s="78"/>
    </row>
    <row r="85" spans="1:13" ht="15" customHeight="1" x14ac:dyDescent="0.25">
      <c r="A85" s="23" t="s">
        <v>159</v>
      </c>
      <c r="B85" s="24"/>
      <c r="C85" s="24"/>
      <c r="D85" s="24"/>
      <c r="E85" s="24"/>
      <c r="F85" s="24"/>
      <c r="G85" s="25"/>
      <c r="H85" s="26"/>
      <c r="I85" s="27"/>
      <c r="J85" s="77">
        <f>SUM(J76:K84)</f>
        <v>23.509999999999998</v>
      </c>
      <c r="K85" s="78"/>
    </row>
    <row r="86" spans="1:13" ht="15" customHeight="1" x14ac:dyDescent="0.25">
      <c r="A86" s="3"/>
      <c r="B86" s="3"/>
      <c r="C86" s="3"/>
      <c r="D86" s="3"/>
      <c r="E86" s="3"/>
      <c r="F86" s="3"/>
      <c r="G86" s="3"/>
      <c r="H86" s="3"/>
      <c r="I86" s="3"/>
      <c r="J86" s="3"/>
      <c r="K86" s="3"/>
    </row>
    <row r="87" spans="1:13" ht="15" customHeight="1" x14ac:dyDescent="0.25">
      <c r="A87" s="10" t="s">
        <v>110</v>
      </c>
      <c r="B87" s="10" t="s">
        <v>31</v>
      </c>
      <c r="C87" s="79" t="s">
        <v>8</v>
      </c>
      <c r="D87" s="80"/>
      <c r="E87" s="80"/>
      <c r="F87" s="80"/>
      <c r="G87" s="6" t="s">
        <v>32</v>
      </c>
      <c r="H87" s="6" t="s">
        <v>111</v>
      </c>
      <c r="I87" s="6" t="s">
        <v>112</v>
      </c>
      <c r="J87" s="51" t="s">
        <v>10</v>
      </c>
      <c r="K87" s="52"/>
    </row>
    <row r="88" spans="1:13" ht="45" customHeight="1" x14ac:dyDescent="0.25">
      <c r="A88" s="6" t="s">
        <v>160</v>
      </c>
      <c r="B88" s="20">
        <v>93281</v>
      </c>
      <c r="C88" s="81" t="str">
        <f>VLOOKUP(B88,S!$A:$D,2,FALSE)</f>
        <v>GUINCHO ELÉTRICO DE COLUNA, CAPACIDADE 400 KG, COM MOTO FREIO, MOTOR TRIFÁSICO DE 1,25 CV - CHP DIURNO. AF_03/2016</v>
      </c>
      <c r="D88" s="81"/>
      <c r="E88" s="81"/>
      <c r="F88" s="82"/>
      <c r="G88" s="6" t="str">
        <f>VLOOKUP(B88,S!$A:$D,3,FALSE)</f>
        <v>CHP</v>
      </c>
      <c r="H88" s="21"/>
      <c r="I88" s="21">
        <f>J94</f>
        <v>24.17</v>
      </c>
      <c r="J88" s="73"/>
      <c r="K88" s="69"/>
      <c r="L88" s="21">
        <f>VLOOKUP(B88,S!$A:$D,4,FALSE)</f>
        <v>24.17</v>
      </c>
      <c r="M88" s="6" t="str">
        <f>IF(ROUND((L88-I88),2)=0,"OK, confere com a tabela.",IF(ROUND((L88-I88),2)&lt;0,"ACIMA ("&amp;TEXT(ROUND(I88*100/L88,4),"0,0000")&amp;" %) da tabela.","ABAIXO ("&amp;TEXT(ROUND(I88*100/L88,4),"0,0000")&amp;" %) da tabela."))</f>
        <v>OK, confere com a tabela.</v>
      </c>
    </row>
    <row r="89" spans="1:13" ht="45" customHeight="1" x14ac:dyDescent="0.25">
      <c r="A89" s="16" t="s">
        <v>115</v>
      </c>
      <c r="B89" s="19">
        <v>93280</v>
      </c>
      <c r="C89" s="74" t="str">
        <f>VLOOKUP(B89,IF(A89="COMPOSICAO",S!$A:$D,I!$A:$D),2,FALSE)</f>
        <v>GUINCHO ELÉTRICO DE COLUNA, CAPACIDADE 400 KG, COM MOTO FREIO, MOTOR TRIFÁSICO DE 1,25 CV - MATERIAIS NA OPERAÇÃO. AF_03/2016</v>
      </c>
      <c r="D89" s="74"/>
      <c r="E89" s="74"/>
      <c r="F89" s="74"/>
      <c r="G89" s="16" t="str">
        <f>VLOOKUP(B89,IF(A89="COMPOSICAO",S!$A:$D,I!$A:$D),3,FALSE)</f>
        <v>H</v>
      </c>
      <c r="H89" s="17">
        <v>1</v>
      </c>
      <c r="I89" s="17">
        <f>IF(A89="COMPOSICAO",VLOOKUP("TOTAL - "&amp;B89,COMPOSICAO_AUX_2!$A:$J,10,FALSE),VLOOKUP(B89,I!$A:$D,4,FALSE))</f>
        <v>0.79</v>
      </c>
      <c r="J89" s="77">
        <f>TRUNC(H89*I89,2)</f>
        <v>0.79</v>
      </c>
      <c r="K89" s="78"/>
    </row>
    <row r="90" spans="1:13" ht="45" customHeight="1" x14ac:dyDescent="0.25">
      <c r="A90" s="16" t="s">
        <v>115</v>
      </c>
      <c r="B90" s="19">
        <v>93279</v>
      </c>
      <c r="C90" s="74" t="str">
        <f>VLOOKUP(B90,IF(A90="COMPOSICAO",S!$A:$D,I!$A:$D),2,FALSE)</f>
        <v>GUINCHO ELÉTRICO DE COLUNA, CAPACIDADE 400 KG, COM MOTO FREIO, MOTOR TRIFÁSICO DE 1,25 CV - MANUTENÇÃO. AF_03/2016</v>
      </c>
      <c r="D90" s="74"/>
      <c r="E90" s="74"/>
      <c r="F90" s="74"/>
      <c r="G90" s="16" t="str">
        <f>VLOOKUP(B90,IF(A90="COMPOSICAO",S!$A:$D,I!$A:$D),3,FALSE)</f>
        <v>H</v>
      </c>
      <c r="H90" s="17">
        <v>1</v>
      </c>
      <c r="I90" s="17">
        <f>IF(A90="COMPOSICAO",VLOOKUP("TOTAL - "&amp;B90,COMPOSICAO_AUX_2!$A:$J,10,FALSE),VLOOKUP(B90,I!$A:$D,4,FALSE))</f>
        <v>0.28999999999999998</v>
      </c>
      <c r="J90" s="77">
        <f>TRUNC(H90*I90,2)</f>
        <v>0.28999999999999998</v>
      </c>
      <c r="K90" s="78"/>
    </row>
    <row r="91" spans="1:13" ht="45" customHeight="1" x14ac:dyDescent="0.25">
      <c r="A91" s="16" t="s">
        <v>115</v>
      </c>
      <c r="B91" s="19">
        <v>93278</v>
      </c>
      <c r="C91" s="74" t="str">
        <f>VLOOKUP(B91,IF(A91="COMPOSICAO",S!$A:$D,I!$A:$D),2,FALSE)</f>
        <v>GUINCHO ELÉTRICO DE COLUNA, CAPACIDADE 400 KG, COM MOTO FREIO, MOTOR TRIFÁSICO DE 1,25 CV - JUROS. AF_03/2016</v>
      </c>
      <c r="D91" s="74"/>
      <c r="E91" s="74"/>
      <c r="F91" s="74"/>
      <c r="G91" s="16" t="str">
        <f>VLOOKUP(B91,IF(A91="COMPOSICAO",S!$A:$D,I!$A:$D),3,FALSE)</f>
        <v>H</v>
      </c>
      <c r="H91" s="17">
        <v>1</v>
      </c>
      <c r="I91" s="17">
        <f>IF(A91="COMPOSICAO",VLOOKUP("TOTAL - "&amp;B91,COMPOSICAO_AUX_2!$A:$J,10,FALSE),VLOOKUP(B91,I!$A:$D,4,FALSE))</f>
        <v>0.03</v>
      </c>
      <c r="J91" s="77">
        <f>TRUNC(H91*I91,2)</f>
        <v>0.03</v>
      </c>
      <c r="K91" s="78"/>
    </row>
    <row r="92" spans="1:13" ht="45" customHeight="1" x14ac:dyDescent="0.25">
      <c r="A92" s="16" t="s">
        <v>115</v>
      </c>
      <c r="B92" s="19">
        <v>93277</v>
      </c>
      <c r="C92" s="74" t="str">
        <f>VLOOKUP(B92,IF(A92="COMPOSICAO",S!$A:$D,I!$A:$D),2,FALSE)</f>
        <v>GUINCHO ELÉTRICO DE COLUNA, CAPACIDADE 400 KG, COM MOTO FREIO, MOTOR TRIFÁSICO DE 1,25 CV - DEPRECIAÇÃO. AF_03/2016</v>
      </c>
      <c r="D92" s="74"/>
      <c r="E92" s="74"/>
      <c r="F92" s="74"/>
      <c r="G92" s="16" t="str">
        <f>VLOOKUP(B92,IF(A92="COMPOSICAO",S!$A:$D,I!$A:$D),3,FALSE)</f>
        <v>H</v>
      </c>
      <c r="H92" s="17">
        <v>1</v>
      </c>
      <c r="I92" s="17">
        <f>IF(A92="COMPOSICAO",VLOOKUP("TOTAL - "&amp;B92,COMPOSICAO_AUX_2!$A:$J,10,FALSE),VLOOKUP(B92,I!$A:$D,4,FALSE))</f>
        <v>0.31</v>
      </c>
      <c r="J92" s="77">
        <f>TRUNC(H92*I92,2)</f>
        <v>0.31</v>
      </c>
      <c r="K92" s="78"/>
    </row>
    <row r="93" spans="1:13" ht="30" customHeight="1" x14ac:dyDescent="0.25">
      <c r="A93" s="16" t="s">
        <v>115</v>
      </c>
      <c r="B93" s="19">
        <v>88295</v>
      </c>
      <c r="C93" s="74" t="str">
        <f>VLOOKUP(B93,IF(A93="COMPOSICAO",S!$A:$D,I!$A:$D),2,FALSE)</f>
        <v>OPERADOR DE GUINCHO COM ENCARGOS COMPLEMENTARES</v>
      </c>
      <c r="D93" s="74"/>
      <c r="E93" s="74"/>
      <c r="F93" s="74"/>
      <c r="G93" s="16" t="str">
        <f>VLOOKUP(B93,IF(A93="COMPOSICAO",S!$A:$D,I!$A:$D),3,FALSE)</f>
        <v>H</v>
      </c>
      <c r="H93" s="17">
        <v>1</v>
      </c>
      <c r="I93" s="17">
        <f>IF(A93="COMPOSICAO",VLOOKUP("TOTAL - "&amp;B93,COMPOSICAO_AUX_2!$A:$J,10,FALSE),VLOOKUP(B93,I!$A:$D,4,FALSE))</f>
        <v>22.75</v>
      </c>
      <c r="J93" s="77">
        <f>TRUNC(H93*I93,2)</f>
        <v>22.75</v>
      </c>
      <c r="K93" s="78"/>
    </row>
    <row r="94" spans="1:13" ht="15" customHeight="1" x14ac:dyDescent="0.25">
      <c r="A94" s="23" t="s">
        <v>161</v>
      </c>
      <c r="B94" s="24"/>
      <c r="C94" s="24"/>
      <c r="D94" s="24"/>
      <c r="E94" s="24"/>
      <c r="F94" s="24"/>
      <c r="G94" s="25"/>
      <c r="H94" s="26"/>
      <c r="I94" s="27"/>
      <c r="J94" s="77">
        <f>SUM(J88:K93)</f>
        <v>24.17</v>
      </c>
      <c r="K94" s="78"/>
    </row>
    <row r="95" spans="1:13" ht="15" customHeight="1" x14ac:dyDescent="0.25">
      <c r="A95" s="3"/>
      <c r="B95" s="3"/>
      <c r="C95" s="3"/>
      <c r="D95" s="3"/>
      <c r="E95" s="3"/>
      <c r="F95" s="3"/>
      <c r="G95" s="3"/>
      <c r="H95" s="3"/>
      <c r="I95" s="3"/>
      <c r="J95" s="3"/>
      <c r="K95" s="3"/>
    </row>
    <row r="96" spans="1:13" ht="15" customHeight="1" x14ac:dyDescent="0.25">
      <c r="A96" s="10" t="s">
        <v>110</v>
      </c>
      <c r="B96" s="10" t="s">
        <v>31</v>
      </c>
      <c r="C96" s="79" t="s">
        <v>8</v>
      </c>
      <c r="D96" s="80"/>
      <c r="E96" s="80"/>
      <c r="F96" s="80"/>
      <c r="G96" s="6" t="s">
        <v>32</v>
      </c>
      <c r="H96" s="6" t="s">
        <v>111</v>
      </c>
      <c r="I96" s="6" t="s">
        <v>112</v>
      </c>
      <c r="J96" s="51" t="s">
        <v>10</v>
      </c>
      <c r="K96" s="52"/>
    </row>
    <row r="97" spans="1:13" ht="45" customHeight="1" x14ac:dyDescent="0.25">
      <c r="A97" s="6" t="s">
        <v>160</v>
      </c>
      <c r="B97" s="20">
        <v>93282</v>
      </c>
      <c r="C97" s="81" t="str">
        <f>VLOOKUP(B97,S!$A:$D,2,FALSE)</f>
        <v>GUINCHO ELÉTRICO DE COLUNA, CAPACIDADE 400 KG, COM MOTO FREIO, MOTOR TRIFÁSICO DE 1,25 CV - CHI DIURNO. AF_03/2016</v>
      </c>
      <c r="D97" s="81"/>
      <c r="E97" s="81"/>
      <c r="F97" s="82"/>
      <c r="G97" s="6" t="str">
        <f>VLOOKUP(B97,S!$A:$D,3,FALSE)</f>
        <v>CHI</v>
      </c>
      <c r="H97" s="21"/>
      <c r="I97" s="21">
        <f>J101</f>
        <v>23.09</v>
      </c>
      <c r="J97" s="73"/>
      <c r="K97" s="69"/>
      <c r="L97" s="21">
        <f>VLOOKUP(B97,S!$A:$D,4,FALSE)</f>
        <v>23.09</v>
      </c>
      <c r="M97" s="6" t="str">
        <f>IF(ROUND((L97-I97),2)=0,"OK, confere com a tabela.",IF(ROUND((L97-I97),2)&lt;0,"ACIMA ("&amp;TEXT(ROUND(I97*100/L97,4),"0,0000")&amp;" %) da tabela.","ABAIXO ("&amp;TEXT(ROUND(I97*100/L97,4),"0,0000")&amp;" %) da tabela."))</f>
        <v>OK, confere com a tabela.</v>
      </c>
    </row>
    <row r="98" spans="1:13" ht="45" customHeight="1" x14ac:dyDescent="0.25">
      <c r="A98" s="16" t="s">
        <v>115</v>
      </c>
      <c r="B98" s="19">
        <v>93278</v>
      </c>
      <c r="C98" s="74" t="str">
        <f>VLOOKUP(B98,IF(A98="COMPOSICAO",S!$A:$D,I!$A:$D),2,FALSE)</f>
        <v>GUINCHO ELÉTRICO DE COLUNA, CAPACIDADE 400 KG, COM MOTO FREIO, MOTOR TRIFÁSICO DE 1,25 CV - JUROS. AF_03/2016</v>
      </c>
      <c r="D98" s="74"/>
      <c r="E98" s="74"/>
      <c r="F98" s="74"/>
      <c r="G98" s="16" t="str">
        <f>VLOOKUP(B98,IF(A98="COMPOSICAO",S!$A:$D,I!$A:$D),3,FALSE)</f>
        <v>H</v>
      </c>
      <c r="H98" s="17">
        <v>1</v>
      </c>
      <c r="I98" s="17">
        <f>IF(A98="COMPOSICAO",VLOOKUP("TOTAL - "&amp;B98,COMPOSICAO_AUX_2!$A:$J,10,FALSE),VLOOKUP(B98,I!$A:$D,4,FALSE))</f>
        <v>0.03</v>
      </c>
      <c r="J98" s="77">
        <f>TRUNC(H98*I98,2)</f>
        <v>0.03</v>
      </c>
      <c r="K98" s="78"/>
    </row>
    <row r="99" spans="1:13" ht="45" customHeight="1" x14ac:dyDescent="0.25">
      <c r="A99" s="16" t="s">
        <v>115</v>
      </c>
      <c r="B99" s="19">
        <v>93277</v>
      </c>
      <c r="C99" s="74" t="str">
        <f>VLOOKUP(B99,IF(A99="COMPOSICAO",S!$A:$D,I!$A:$D),2,FALSE)</f>
        <v>GUINCHO ELÉTRICO DE COLUNA, CAPACIDADE 400 KG, COM MOTO FREIO, MOTOR TRIFÁSICO DE 1,25 CV - DEPRECIAÇÃO. AF_03/2016</v>
      </c>
      <c r="D99" s="74"/>
      <c r="E99" s="74"/>
      <c r="F99" s="74"/>
      <c r="G99" s="16" t="str">
        <f>VLOOKUP(B99,IF(A99="COMPOSICAO",S!$A:$D,I!$A:$D),3,FALSE)</f>
        <v>H</v>
      </c>
      <c r="H99" s="17">
        <v>1</v>
      </c>
      <c r="I99" s="17">
        <f>IF(A99="COMPOSICAO",VLOOKUP("TOTAL - "&amp;B99,COMPOSICAO_AUX_2!$A:$J,10,FALSE),VLOOKUP(B99,I!$A:$D,4,FALSE))</f>
        <v>0.31</v>
      </c>
      <c r="J99" s="77">
        <f>TRUNC(H99*I99,2)</f>
        <v>0.31</v>
      </c>
      <c r="K99" s="78"/>
    </row>
    <row r="100" spans="1:13" ht="30" customHeight="1" x14ac:dyDescent="0.25">
      <c r="A100" s="16" t="s">
        <v>115</v>
      </c>
      <c r="B100" s="19">
        <v>88295</v>
      </c>
      <c r="C100" s="74" t="str">
        <f>VLOOKUP(B100,IF(A100="COMPOSICAO",S!$A:$D,I!$A:$D),2,FALSE)</f>
        <v>OPERADOR DE GUINCHO COM ENCARGOS COMPLEMENTARES</v>
      </c>
      <c r="D100" s="74"/>
      <c r="E100" s="74"/>
      <c r="F100" s="74"/>
      <c r="G100" s="16" t="str">
        <f>VLOOKUP(B100,IF(A100="COMPOSICAO",S!$A:$D,I!$A:$D),3,FALSE)</f>
        <v>H</v>
      </c>
      <c r="H100" s="17">
        <v>1</v>
      </c>
      <c r="I100" s="17">
        <f>IF(A100="COMPOSICAO",VLOOKUP("TOTAL - "&amp;B100,COMPOSICAO_AUX_2!$A:$J,10,FALSE),VLOOKUP(B100,I!$A:$D,4,FALSE))</f>
        <v>22.75</v>
      </c>
      <c r="J100" s="77">
        <f>TRUNC(H100*I100,2)</f>
        <v>22.75</v>
      </c>
      <c r="K100" s="78"/>
    </row>
    <row r="101" spans="1:13" ht="15" customHeight="1" x14ac:dyDescent="0.25">
      <c r="A101" s="23" t="s">
        <v>162</v>
      </c>
      <c r="B101" s="24"/>
      <c r="C101" s="24"/>
      <c r="D101" s="24"/>
      <c r="E101" s="24"/>
      <c r="F101" s="24"/>
      <c r="G101" s="25"/>
      <c r="H101" s="26"/>
      <c r="I101" s="27"/>
      <c r="J101" s="77">
        <f>SUM(J97:K100)</f>
        <v>23.09</v>
      </c>
      <c r="K101" s="78"/>
    </row>
    <row r="102" spans="1:13" ht="15" customHeight="1" x14ac:dyDescent="0.25">
      <c r="A102" s="3"/>
      <c r="B102" s="3"/>
      <c r="C102" s="3"/>
      <c r="D102" s="3"/>
      <c r="E102" s="3"/>
      <c r="F102" s="3"/>
      <c r="G102" s="3"/>
      <c r="H102" s="3"/>
      <c r="I102" s="3"/>
      <c r="J102" s="3"/>
      <c r="K102" s="3"/>
    </row>
    <row r="103" spans="1:13" ht="15" customHeight="1" x14ac:dyDescent="0.25">
      <c r="A103" s="10" t="s">
        <v>110</v>
      </c>
      <c r="B103" s="10" t="s">
        <v>31</v>
      </c>
      <c r="C103" s="79" t="s">
        <v>8</v>
      </c>
      <c r="D103" s="80"/>
      <c r="E103" s="80"/>
      <c r="F103" s="80"/>
      <c r="G103" s="6" t="s">
        <v>32</v>
      </c>
      <c r="H103" s="6" t="s">
        <v>111</v>
      </c>
      <c r="I103" s="6" t="s">
        <v>112</v>
      </c>
      <c r="J103" s="51" t="s">
        <v>10</v>
      </c>
      <c r="K103" s="52"/>
    </row>
    <row r="104" spans="1:13" ht="15" customHeight="1" x14ac:dyDescent="0.25">
      <c r="A104" s="6" t="s">
        <v>113</v>
      </c>
      <c r="B104" s="20">
        <v>88310</v>
      </c>
      <c r="C104" s="81" t="str">
        <f>VLOOKUP(B104,S!$A:$D,2,FALSE)</f>
        <v>PINTOR COM ENCARGOS COMPLEMENTARES</v>
      </c>
      <c r="D104" s="81"/>
      <c r="E104" s="81"/>
      <c r="F104" s="82"/>
      <c r="G104" s="6" t="str">
        <f>VLOOKUP(B104,S!$A:$D,3,FALSE)</f>
        <v>H</v>
      </c>
      <c r="H104" s="21"/>
      <c r="I104" s="21">
        <f>J113</f>
        <v>21.91</v>
      </c>
      <c r="J104" s="73"/>
      <c r="K104" s="69"/>
      <c r="L104" s="21">
        <f>VLOOKUP(B104,S!$A:$D,4,FALSE)</f>
        <v>21.91</v>
      </c>
      <c r="M104" s="6" t="str">
        <f>IF(ROUND((L104-I104),2)=0,"OK, confere com a tabela.",IF(ROUND((L104-I104),2)&lt;0,"ACIMA ("&amp;TEXT(ROUND(I104*100/L104,4),"0,0000")&amp;" %) da tabela.","ABAIXO ("&amp;TEXT(ROUND(I104*100/L104,4),"0,0000")&amp;" %) da tabela."))</f>
        <v>OK, confere com a tabela.</v>
      </c>
    </row>
    <row r="105" spans="1:13" ht="15" customHeight="1" x14ac:dyDescent="0.25">
      <c r="A105" s="16" t="s">
        <v>114</v>
      </c>
      <c r="B105" s="19">
        <v>4783</v>
      </c>
      <c r="C105" s="74" t="str">
        <f>VLOOKUP(B105,IF(A105="COMPOSICAO",S!$A:$D,I!$A:$D),2,FALSE)</f>
        <v>PINTOR</v>
      </c>
      <c r="D105" s="74"/>
      <c r="E105" s="74"/>
      <c r="F105" s="74"/>
      <c r="G105" s="16" t="str">
        <f>VLOOKUP(B105,IF(A105="COMPOSICAO",S!$A:$D,I!$A:$D),3,FALSE)</f>
        <v>H</v>
      </c>
      <c r="H105" s="17">
        <v>1</v>
      </c>
      <c r="I105" s="17">
        <f>IF(A105="COMPOSICAO",VLOOKUP("TOTAL - "&amp;B105,COMPOSICAO_AUX_2!$A:$J,10,FALSE),VLOOKUP(B105,I!$A:$D,4,FALSE))</f>
        <v>14.91</v>
      </c>
      <c r="J105" s="77">
        <f t="shared" ref="J105:J112" si="6">TRUNC(H105*I105,2)</f>
        <v>14.91</v>
      </c>
      <c r="K105" s="78"/>
    </row>
    <row r="106" spans="1:13" ht="15" customHeight="1" x14ac:dyDescent="0.25">
      <c r="A106" s="16" t="s">
        <v>114</v>
      </c>
      <c r="B106" s="19">
        <v>37370</v>
      </c>
      <c r="C106" s="74" t="str">
        <f>VLOOKUP(B106,IF(A106="COMPOSICAO",S!$A:$D,I!$A:$D),2,FALSE)</f>
        <v>ALIMENTACAO - HORISTA (COLETADO CAIXA)</v>
      </c>
      <c r="D106" s="74"/>
      <c r="E106" s="74"/>
      <c r="F106" s="74"/>
      <c r="G106" s="16" t="str">
        <f>VLOOKUP(B106,IF(A106="COMPOSICAO",S!$A:$D,I!$A:$D),3,FALSE)</f>
        <v>H</v>
      </c>
      <c r="H106" s="17">
        <v>1</v>
      </c>
      <c r="I106" s="17">
        <f>IF(A106="COMPOSICAO",VLOOKUP("TOTAL - "&amp;B106,COMPOSICAO_AUX_2!$A:$J,10,FALSE),VLOOKUP(B106,I!$A:$D,4,FALSE))</f>
        <v>2.29</v>
      </c>
      <c r="J106" s="77">
        <f t="shared" si="6"/>
        <v>2.29</v>
      </c>
      <c r="K106" s="78"/>
    </row>
    <row r="107" spans="1:13" ht="15" customHeight="1" x14ac:dyDescent="0.25">
      <c r="A107" s="16" t="s">
        <v>114</v>
      </c>
      <c r="B107" s="19">
        <v>37371</v>
      </c>
      <c r="C107" s="74" t="str">
        <f>VLOOKUP(B107,IF(A107="COMPOSICAO",S!$A:$D,I!$A:$D),2,FALSE)</f>
        <v>TRANSPORTE - HORISTA (COLETADO CAIXA)</v>
      </c>
      <c r="D107" s="74"/>
      <c r="E107" s="74"/>
      <c r="F107" s="74"/>
      <c r="G107" s="16" t="str">
        <f>VLOOKUP(B107,IF(A107="COMPOSICAO",S!$A:$D,I!$A:$D),3,FALSE)</f>
        <v>H</v>
      </c>
      <c r="H107" s="17">
        <v>1</v>
      </c>
      <c r="I107" s="17">
        <f>IF(A107="COMPOSICAO",VLOOKUP("TOTAL - "&amp;B107,COMPOSICAO_AUX_2!$A:$J,10,FALSE),VLOOKUP(B107,I!$A:$D,4,FALSE))</f>
        <v>0.69</v>
      </c>
      <c r="J107" s="77">
        <f t="shared" si="6"/>
        <v>0.69</v>
      </c>
      <c r="K107" s="78"/>
    </row>
    <row r="108" spans="1:13" ht="15" customHeight="1" x14ac:dyDescent="0.25">
      <c r="A108" s="16" t="s">
        <v>114</v>
      </c>
      <c r="B108" s="19">
        <v>37372</v>
      </c>
      <c r="C108" s="74" t="str">
        <f>VLOOKUP(B108,IF(A108="COMPOSICAO",S!$A:$D,I!$A:$D),2,FALSE)</f>
        <v>EXAMES - HORISTA (COLETADO CAIXA)</v>
      </c>
      <c r="D108" s="74"/>
      <c r="E108" s="74"/>
      <c r="F108" s="74"/>
      <c r="G108" s="16" t="str">
        <f>VLOOKUP(B108,IF(A108="COMPOSICAO",S!$A:$D,I!$A:$D),3,FALSE)</f>
        <v>H</v>
      </c>
      <c r="H108" s="17">
        <v>1</v>
      </c>
      <c r="I108" s="17">
        <f>IF(A108="COMPOSICAO",VLOOKUP("TOTAL - "&amp;B108,COMPOSICAO_AUX_2!$A:$J,10,FALSE),VLOOKUP(B108,I!$A:$D,4,FALSE))</f>
        <v>0.81</v>
      </c>
      <c r="J108" s="77">
        <f t="shared" si="6"/>
        <v>0.81</v>
      </c>
      <c r="K108" s="78"/>
    </row>
    <row r="109" spans="1:13" ht="15" customHeight="1" x14ac:dyDescent="0.25">
      <c r="A109" s="16" t="s">
        <v>114</v>
      </c>
      <c r="B109" s="19">
        <v>37373</v>
      </c>
      <c r="C109" s="74" t="str">
        <f>VLOOKUP(B109,IF(A109="COMPOSICAO",S!$A:$D,I!$A:$D),2,FALSE)</f>
        <v>SEGURO - HORISTA (COLETADO CAIXA)</v>
      </c>
      <c r="D109" s="74"/>
      <c r="E109" s="74"/>
      <c r="F109" s="74"/>
      <c r="G109" s="16" t="str">
        <f>VLOOKUP(B109,IF(A109="COMPOSICAO",S!$A:$D,I!$A:$D),3,FALSE)</f>
        <v>H</v>
      </c>
      <c r="H109" s="17">
        <v>1</v>
      </c>
      <c r="I109" s="17">
        <f>IF(A109="COMPOSICAO",VLOOKUP("TOTAL - "&amp;B109,COMPOSICAO_AUX_2!$A:$J,10,FALSE),VLOOKUP(B109,I!$A:$D,4,FALSE))</f>
        <v>0.06</v>
      </c>
      <c r="J109" s="77">
        <f t="shared" si="6"/>
        <v>0.06</v>
      </c>
      <c r="K109" s="78"/>
    </row>
    <row r="110" spans="1:13" ht="30" customHeight="1" x14ac:dyDescent="0.25">
      <c r="A110" s="16" t="s">
        <v>114</v>
      </c>
      <c r="B110" s="19">
        <v>43466</v>
      </c>
      <c r="C110" s="74" t="str">
        <f>VLOOKUP(B110,IF(A110="COMPOSICAO",S!$A:$D,I!$A:$D),2,FALSE)</f>
        <v>FERRAMENTAS - FAMILIA PINTOR - HORISTA (ENCARGOS COMPLEMENTARES - COLETADO CAIXA)</v>
      </c>
      <c r="D110" s="74"/>
      <c r="E110" s="74"/>
      <c r="F110" s="74"/>
      <c r="G110" s="16" t="str">
        <f>VLOOKUP(B110,IF(A110="COMPOSICAO",S!$A:$D,I!$A:$D),3,FALSE)</f>
        <v>H</v>
      </c>
      <c r="H110" s="17">
        <v>1</v>
      </c>
      <c r="I110" s="17">
        <f>IF(A110="COMPOSICAO",VLOOKUP("TOTAL - "&amp;B110,COMPOSICAO_AUX_2!$A:$J,10,FALSE),VLOOKUP(B110,I!$A:$D,4,FALSE))</f>
        <v>1.48</v>
      </c>
      <c r="J110" s="77">
        <f t="shared" si="6"/>
        <v>1.48</v>
      </c>
      <c r="K110" s="78"/>
    </row>
    <row r="111" spans="1:13" ht="30" customHeight="1" x14ac:dyDescent="0.25">
      <c r="A111" s="16" t="s">
        <v>114</v>
      </c>
      <c r="B111" s="19">
        <v>43490</v>
      </c>
      <c r="C111" s="74" t="str">
        <f>VLOOKUP(B111,IF(A111="COMPOSICAO",S!$A:$D,I!$A:$D),2,FALSE)</f>
        <v>EPI - FAMILIA PINTOR - HORISTA (ENCARGOS COMPLEMENTARES - COLETADO CAIXA)</v>
      </c>
      <c r="D111" s="74"/>
      <c r="E111" s="74"/>
      <c r="F111" s="74"/>
      <c r="G111" s="16" t="str">
        <f>VLOOKUP(B111,IF(A111="COMPOSICAO",S!$A:$D,I!$A:$D),3,FALSE)</f>
        <v>H</v>
      </c>
      <c r="H111" s="17">
        <v>1</v>
      </c>
      <c r="I111" s="17">
        <f>IF(A111="COMPOSICAO",VLOOKUP("TOTAL - "&amp;B111,COMPOSICAO_AUX_2!$A:$J,10,FALSE),VLOOKUP(B111,I!$A:$D,4,FALSE))</f>
        <v>1.5</v>
      </c>
      <c r="J111" s="77">
        <f t="shared" si="6"/>
        <v>1.5</v>
      </c>
      <c r="K111" s="78"/>
    </row>
    <row r="112" spans="1:13" ht="30" customHeight="1" x14ac:dyDescent="0.25">
      <c r="A112" s="16" t="s">
        <v>115</v>
      </c>
      <c r="B112" s="19">
        <v>95372</v>
      </c>
      <c r="C112" s="74" t="str">
        <f>VLOOKUP(B112,IF(A112="COMPOSICAO",S!$A:$D,I!$A:$D),2,FALSE)</f>
        <v>CURSO DE CAPACITAÇÃO PARA PINTOR (ENCARGOS COMPLEMENTARES) - HORISTA</v>
      </c>
      <c r="D112" s="74"/>
      <c r="E112" s="74"/>
      <c r="F112" s="74"/>
      <c r="G112" s="16" t="str">
        <f>VLOOKUP(B112,IF(A112="COMPOSICAO",S!$A:$D,I!$A:$D),3,FALSE)</f>
        <v>H</v>
      </c>
      <c r="H112" s="17">
        <v>1</v>
      </c>
      <c r="I112" s="17">
        <f>IF(A112="COMPOSICAO",VLOOKUP("TOTAL - "&amp;B112,COMPOSICAO_AUX_2!$A:$J,10,FALSE),VLOOKUP(B112,I!$A:$D,4,FALSE))</f>
        <v>0.17</v>
      </c>
      <c r="J112" s="77">
        <f t="shared" si="6"/>
        <v>0.17</v>
      </c>
      <c r="K112" s="78"/>
    </row>
    <row r="113" spans="1:13" ht="15" customHeight="1" x14ac:dyDescent="0.25">
      <c r="A113" s="23" t="s">
        <v>163</v>
      </c>
      <c r="B113" s="24"/>
      <c r="C113" s="24"/>
      <c r="D113" s="24"/>
      <c r="E113" s="24"/>
      <c r="F113" s="24"/>
      <c r="G113" s="25"/>
      <c r="H113" s="26"/>
      <c r="I113" s="27"/>
      <c r="J113" s="77">
        <f>SUM(J104:K112)</f>
        <v>21.91</v>
      </c>
      <c r="K113" s="78"/>
    </row>
    <row r="114" spans="1:13" ht="15" customHeight="1" x14ac:dyDescent="0.25">
      <c r="A114" s="3"/>
      <c r="B114" s="3"/>
      <c r="C114" s="3"/>
      <c r="D114" s="3"/>
      <c r="E114" s="3"/>
      <c r="F114" s="3"/>
      <c r="G114" s="3"/>
      <c r="H114" s="3"/>
      <c r="I114" s="3"/>
      <c r="J114" s="3"/>
      <c r="K114" s="3"/>
    </row>
    <row r="115" spans="1:13" ht="15" customHeight="1" x14ac:dyDescent="0.25">
      <c r="A115" s="10" t="s">
        <v>110</v>
      </c>
      <c r="B115" s="10" t="s">
        <v>31</v>
      </c>
      <c r="C115" s="79" t="s">
        <v>8</v>
      </c>
      <c r="D115" s="80"/>
      <c r="E115" s="80"/>
      <c r="F115" s="80"/>
      <c r="G115" s="6" t="s">
        <v>32</v>
      </c>
      <c r="H115" s="6" t="s">
        <v>111</v>
      </c>
      <c r="I115" s="6" t="s">
        <v>112</v>
      </c>
      <c r="J115" s="51" t="s">
        <v>10</v>
      </c>
      <c r="K115" s="52"/>
    </row>
    <row r="116" spans="1:13" ht="15" customHeight="1" x14ac:dyDescent="0.25">
      <c r="A116" s="6" t="s">
        <v>113</v>
      </c>
      <c r="B116" s="20">
        <v>88264</v>
      </c>
      <c r="C116" s="81" t="str">
        <f>VLOOKUP(B116,S!$A:$D,2,FALSE)</f>
        <v>ELETRICISTA COM ENCARGOS COMPLEMENTARES</v>
      </c>
      <c r="D116" s="81"/>
      <c r="E116" s="81"/>
      <c r="F116" s="82"/>
      <c r="G116" s="6" t="str">
        <f>VLOOKUP(B116,S!$A:$D,3,FALSE)</f>
        <v>H</v>
      </c>
      <c r="H116" s="21"/>
      <c r="I116" s="21">
        <f>J125</f>
        <v>21.06</v>
      </c>
      <c r="J116" s="73"/>
      <c r="K116" s="69"/>
      <c r="L116" s="21">
        <f>VLOOKUP(B116,S!$A:$D,4,FALSE)</f>
        <v>21.06</v>
      </c>
      <c r="M116" s="6" t="str">
        <f>IF(ROUND((L116-I116),2)=0,"OK, confere com a tabela.",IF(ROUND((L116-I116),2)&lt;0,"ACIMA ("&amp;TEXT(ROUND(I116*100/L116,4),"0,0000")&amp;" %) da tabela.","ABAIXO ("&amp;TEXT(ROUND(I116*100/L116,4),"0,0000")&amp;" %) da tabela."))</f>
        <v>OK, confere com a tabela.</v>
      </c>
    </row>
    <row r="117" spans="1:13" ht="15" customHeight="1" x14ac:dyDescent="0.25">
      <c r="A117" s="16" t="s">
        <v>114</v>
      </c>
      <c r="B117" s="19">
        <v>2436</v>
      </c>
      <c r="C117" s="74" t="str">
        <f>VLOOKUP(B117,IF(A117="COMPOSICAO",S!$A:$D,I!$A:$D),2,FALSE)</f>
        <v>ELETRICISTA</v>
      </c>
      <c r="D117" s="74"/>
      <c r="E117" s="74"/>
      <c r="F117" s="74"/>
      <c r="G117" s="16" t="str">
        <f>VLOOKUP(B117,IF(A117="COMPOSICAO",S!$A:$D,I!$A:$D),3,FALSE)</f>
        <v>H</v>
      </c>
      <c r="H117" s="17">
        <v>1</v>
      </c>
      <c r="I117" s="17">
        <f>IF(A117="COMPOSICAO",VLOOKUP("TOTAL - "&amp;B117,COMPOSICAO_AUX_2!$A:$J,10,FALSE),VLOOKUP(B117,I!$A:$D,4,FALSE))</f>
        <v>14.91</v>
      </c>
      <c r="J117" s="77">
        <f t="shared" ref="J117:J124" si="7">TRUNC(H117*I117,2)</f>
        <v>14.91</v>
      </c>
      <c r="K117" s="78"/>
    </row>
    <row r="118" spans="1:13" ht="15" customHeight="1" x14ac:dyDescent="0.25">
      <c r="A118" s="16" t="s">
        <v>114</v>
      </c>
      <c r="B118" s="19">
        <v>37370</v>
      </c>
      <c r="C118" s="74" t="str">
        <f>VLOOKUP(B118,IF(A118="COMPOSICAO",S!$A:$D,I!$A:$D),2,FALSE)</f>
        <v>ALIMENTACAO - HORISTA (COLETADO CAIXA)</v>
      </c>
      <c r="D118" s="74"/>
      <c r="E118" s="74"/>
      <c r="F118" s="74"/>
      <c r="G118" s="16" t="str">
        <f>VLOOKUP(B118,IF(A118="COMPOSICAO",S!$A:$D,I!$A:$D),3,FALSE)</f>
        <v>H</v>
      </c>
      <c r="H118" s="17">
        <v>1</v>
      </c>
      <c r="I118" s="17">
        <f>IF(A118="COMPOSICAO",VLOOKUP("TOTAL - "&amp;B118,COMPOSICAO_AUX_2!$A:$J,10,FALSE),VLOOKUP(B118,I!$A:$D,4,FALSE))</f>
        <v>2.29</v>
      </c>
      <c r="J118" s="77">
        <f t="shared" si="7"/>
        <v>2.29</v>
      </c>
      <c r="K118" s="78"/>
    </row>
    <row r="119" spans="1:13" ht="15" customHeight="1" x14ac:dyDescent="0.25">
      <c r="A119" s="16" t="s">
        <v>114</v>
      </c>
      <c r="B119" s="19">
        <v>37371</v>
      </c>
      <c r="C119" s="74" t="str">
        <f>VLOOKUP(B119,IF(A119="COMPOSICAO",S!$A:$D,I!$A:$D),2,FALSE)</f>
        <v>TRANSPORTE - HORISTA (COLETADO CAIXA)</v>
      </c>
      <c r="D119" s="74"/>
      <c r="E119" s="74"/>
      <c r="F119" s="74"/>
      <c r="G119" s="16" t="str">
        <f>VLOOKUP(B119,IF(A119="COMPOSICAO",S!$A:$D,I!$A:$D),3,FALSE)</f>
        <v>H</v>
      </c>
      <c r="H119" s="17">
        <v>1</v>
      </c>
      <c r="I119" s="17">
        <f>IF(A119="COMPOSICAO",VLOOKUP("TOTAL - "&amp;B119,COMPOSICAO_AUX_2!$A:$J,10,FALSE),VLOOKUP(B119,I!$A:$D,4,FALSE))</f>
        <v>0.69</v>
      </c>
      <c r="J119" s="77">
        <f t="shared" si="7"/>
        <v>0.69</v>
      </c>
      <c r="K119" s="78"/>
    </row>
    <row r="120" spans="1:13" ht="15" customHeight="1" x14ac:dyDescent="0.25">
      <c r="A120" s="16" t="s">
        <v>114</v>
      </c>
      <c r="B120" s="19">
        <v>37372</v>
      </c>
      <c r="C120" s="74" t="str">
        <f>VLOOKUP(B120,IF(A120="COMPOSICAO",S!$A:$D,I!$A:$D),2,FALSE)</f>
        <v>EXAMES - HORISTA (COLETADO CAIXA)</v>
      </c>
      <c r="D120" s="74"/>
      <c r="E120" s="74"/>
      <c r="F120" s="74"/>
      <c r="G120" s="16" t="str">
        <f>VLOOKUP(B120,IF(A120="COMPOSICAO",S!$A:$D,I!$A:$D),3,FALSE)</f>
        <v>H</v>
      </c>
      <c r="H120" s="17">
        <v>1</v>
      </c>
      <c r="I120" s="17">
        <f>IF(A120="COMPOSICAO",VLOOKUP("TOTAL - "&amp;B120,COMPOSICAO_AUX_2!$A:$J,10,FALSE),VLOOKUP(B120,I!$A:$D,4,FALSE))</f>
        <v>0.81</v>
      </c>
      <c r="J120" s="77">
        <f t="shared" si="7"/>
        <v>0.81</v>
      </c>
      <c r="K120" s="78"/>
    </row>
    <row r="121" spans="1:13" ht="15" customHeight="1" x14ac:dyDescent="0.25">
      <c r="A121" s="16" t="s">
        <v>114</v>
      </c>
      <c r="B121" s="19">
        <v>37373</v>
      </c>
      <c r="C121" s="74" t="str">
        <f>VLOOKUP(B121,IF(A121="COMPOSICAO",S!$A:$D,I!$A:$D),2,FALSE)</f>
        <v>SEGURO - HORISTA (COLETADO CAIXA)</v>
      </c>
      <c r="D121" s="74"/>
      <c r="E121" s="74"/>
      <c r="F121" s="74"/>
      <c r="G121" s="16" t="str">
        <f>VLOOKUP(B121,IF(A121="COMPOSICAO",S!$A:$D,I!$A:$D),3,FALSE)</f>
        <v>H</v>
      </c>
      <c r="H121" s="17">
        <v>1</v>
      </c>
      <c r="I121" s="17">
        <f>IF(A121="COMPOSICAO",VLOOKUP("TOTAL - "&amp;B121,COMPOSICAO_AUX_2!$A:$J,10,FALSE),VLOOKUP(B121,I!$A:$D,4,FALSE))</f>
        <v>0.06</v>
      </c>
      <c r="J121" s="77">
        <f t="shared" si="7"/>
        <v>0.06</v>
      </c>
      <c r="K121" s="78"/>
    </row>
    <row r="122" spans="1:13" ht="30" customHeight="1" x14ac:dyDescent="0.25">
      <c r="A122" s="16" t="s">
        <v>114</v>
      </c>
      <c r="B122" s="19">
        <v>43460</v>
      </c>
      <c r="C122" s="74" t="str">
        <f>VLOOKUP(B122,IF(A122="COMPOSICAO",S!$A:$D,I!$A:$D),2,FALSE)</f>
        <v>FERRAMENTAS - FAMILIA ELETRICISTA - HORISTA (ENCARGOS COMPLEMENTARES - COLETADO CAIXA)</v>
      </c>
      <c r="D122" s="74"/>
      <c r="E122" s="74"/>
      <c r="F122" s="74"/>
      <c r="G122" s="16" t="str">
        <f>VLOOKUP(B122,IF(A122="COMPOSICAO",S!$A:$D,I!$A:$D),3,FALSE)</f>
        <v>H</v>
      </c>
      <c r="H122" s="17">
        <v>1</v>
      </c>
      <c r="I122" s="17">
        <f>IF(A122="COMPOSICAO",VLOOKUP("TOTAL - "&amp;B122,COMPOSICAO_AUX_2!$A:$J,10,FALSE),VLOOKUP(B122,I!$A:$D,4,FALSE))</f>
        <v>0.78</v>
      </c>
      <c r="J122" s="77">
        <f t="shared" si="7"/>
        <v>0.78</v>
      </c>
      <c r="K122" s="78"/>
    </row>
    <row r="123" spans="1:13" ht="30" customHeight="1" x14ac:dyDescent="0.25">
      <c r="A123" s="16" t="s">
        <v>114</v>
      </c>
      <c r="B123" s="19">
        <v>43484</v>
      </c>
      <c r="C123" s="74" t="str">
        <f>VLOOKUP(B123,IF(A123="COMPOSICAO",S!$A:$D,I!$A:$D),2,FALSE)</f>
        <v>EPI - FAMILIA ELETRICISTA - HORISTA (ENCARGOS COMPLEMENTARES - COLETADO CAIXA)</v>
      </c>
      <c r="D123" s="74"/>
      <c r="E123" s="74"/>
      <c r="F123" s="74"/>
      <c r="G123" s="16" t="str">
        <f>VLOOKUP(B123,IF(A123="COMPOSICAO",S!$A:$D,I!$A:$D),3,FALSE)</f>
        <v>H</v>
      </c>
      <c r="H123" s="17">
        <v>1</v>
      </c>
      <c r="I123" s="17">
        <f>IF(A123="COMPOSICAO",VLOOKUP("TOTAL - "&amp;B123,COMPOSICAO_AUX_2!$A:$J,10,FALSE),VLOOKUP(B123,I!$A:$D,4,FALSE))</f>
        <v>1.07</v>
      </c>
      <c r="J123" s="77">
        <f t="shared" si="7"/>
        <v>1.07</v>
      </c>
      <c r="K123" s="78"/>
    </row>
    <row r="124" spans="1:13" ht="30" customHeight="1" x14ac:dyDescent="0.25">
      <c r="A124" s="16" t="s">
        <v>115</v>
      </c>
      <c r="B124" s="19">
        <v>95332</v>
      </c>
      <c r="C124" s="74" t="str">
        <f>VLOOKUP(B124,IF(A124="COMPOSICAO",S!$A:$D,I!$A:$D),2,FALSE)</f>
        <v>CURSO DE CAPACITAÇÃO PARA ELETRICISTA (ENCARGOS COMPLEMENTARES) - HORISTA</v>
      </c>
      <c r="D124" s="74"/>
      <c r="E124" s="74"/>
      <c r="F124" s="74"/>
      <c r="G124" s="16" t="str">
        <f>VLOOKUP(B124,IF(A124="COMPOSICAO",S!$A:$D,I!$A:$D),3,FALSE)</f>
        <v>H</v>
      </c>
      <c r="H124" s="17">
        <v>1</v>
      </c>
      <c r="I124" s="17">
        <f>IF(A124="COMPOSICAO",VLOOKUP("TOTAL - "&amp;B124,COMPOSICAO_AUX_2!$A:$J,10,FALSE),VLOOKUP(B124,I!$A:$D,4,FALSE))</f>
        <v>0.45</v>
      </c>
      <c r="J124" s="77">
        <f t="shared" si="7"/>
        <v>0.45</v>
      </c>
      <c r="K124" s="78"/>
    </row>
    <row r="125" spans="1:13" ht="15" customHeight="1" x14ac:dyDescent="0.25">
      <c r="A125" s="23" t="s">
        <v>164</v>
      </c>
      <c r="B125" s="24"/>
      <c r="C125" s="24"/>
      <c r="D125" s="24"/>
      <c r="E125" s="24"/>
      <c r="F125" s="24"/>
      <c r="G125" s="25"/>
      <c r="H125" s="26"/>
      <c r="I125" s="27"/>
      <c r="J125" s="77">
        <f>SUM(J116:K124)</f>
        <v>21.06</v>
      </c>
      <c r="K125" s="78"/>
    </row>
    <row r="126" spans="1:13" ht="15" customHeight="1" x14ac:dyDescent="0.25">
      <c r="A126" s="3"/>
      <c r="B126" s="3"/>
      <c r="C126" s="3"/>
      <c r="D126" s="3"/>
      <c r="E126" s="3"/>
      <c r="F126" s="3"/>
      <c r="G126" s="3"/>
      <c r="H126" s="3"/>
      <c r="I126" s="3"/>
      <c r="J126" s="3"/>
      <c r="K126" s="3"/>
    </row>
    <row r="127" spans="1:13" ht="15" customHeight="1" x14ac:dyDescent="0.25">
      <c r="A127" s="10" t="s">
        <v>110</v>
      </c>
      <c r="B127" s="10" t="s">
        <v>31</v>
      </c>
      <c r="C127" s="79" t="s">
        <v>8</v>
      </c>
      <c r="D127" s="80"/>
      <c r="E127" s="80"/>
      <c r="F127" s="80"/>
      <c r="G127" s="6" t="s">
        <v>32</v>
      </c>
      <c r="H127" s="6" t="s">
        <v>111</v>
      </c>
      <c r="I127" s="6" t="s">
        <v>112</v>
      </c>
      <c r="J127" s="51" t="s">
        <v>10</v>
      </c>
      <c r="K127" s="52"/>
    </row>
    <row r="128" spans="1:13" ht="45" customHeight="1" x14ac:dyDescent="0.25">
      <c r="A128" s="6" t="s">
        <v>139</v>
      </c>
      <c r="B128" s="20">
        <v>89356</v>
      </c>
      <c r="C128" s="81" t="str">
        <f>VLOOKUP(B128,S!$A:$D,2,FALSE)</f>
        <v>TUBO, PVC, SOLDÁVEL, DN 25MM, INSTALADO EM RAMAL OU SUB-RAMAL DE ÁGUA - FORNECIMENTO E INSTALAÇÃO. AF_12/2014</v>
      </c>
      <c r="D128" s="81"/>
      <c r="E128" s="81"/>
      <c r="F128" s="82"/>
      <c r="G128" s="6" t="str">
        <f>VLOOKUP(B128,S!$A:$D,3,FALSE)</f>
        <v>M</v>
      </c>
      <c r="H128" s="21"/>
      <c r="I128" s="21">
        <f>J133</f>
        <v>17.830000000000002</v>
      </c>
      <c r="J128" s="73"/>
      <c r="K128" s="69"/>
      <c r="L128" s="21">
        <f>VLOOKUP(B128,S!$A:$D,4,FALSE)</f>
        <v>17.829999999999998</v>
      </c>
      <c r="M128" s="6" t="str">
        <f>IF(ROUND((L128-I128),2)=0,"OK, confere com a tabela.",IF(ROUND((L128-I128),2)&lt;0,"ACIMA ("&amp;TEXT(ROUND(I128*100/L128,4),"0,0000")&amp;" %) da tabela.","ABAIXO ("&amp;TEXT(ROUND(I128*100/L128,4),"0,0000")&amp;" %) da tabela."))</f>
        <v>OK, confere com a tabela.</v>
      </c>
    </row>
    <row r="129" spans="1:13" ht="30" customHeight="1" x14ac:dyDescent="0.25">
      <c r="A129" s="16" t="s">
        <v>114</v>
      </c>
      <c r="B129" s="19">
        <v>9868</v>
      </c>
      <c r="C129" s="74" t="str">
        <f>VLOOKUP(B129,IF(A129="COMPOSICAO",S!$A:$D,I!$A:$D),2,FALSE)</f>
        <v>TUBO PVC, SOLDAVEL, DN 25 MM, AGUA FRIA (NBR-5648)</v>
      </c>
      <c r="D129" s="74"/>
      <c r="E129" s="74"/>
      <c r="F129" s="74"/>
      <c r="G129" s="16" t="str">
        <f>VLOOKUP(B129,IF(A129="COMPOSICAO",S!$A:$D,I!$A:$D),3,FALSE)</f>
        <v>M</v>
      </c>
      <c r="H129" s="28">
        <v>1.0609999999999999</v>
      </c>
      <c r="I129" s="17">
        <f>IF(A129="COMPOSICAO",VLOOKUP("TOTAL - "&amp;B129,COMPOSICAO_AUX_2!$A:$J,10,FALSE),VLOOKUP(B129,I!$A:$D,4,FALSE))</f>
        <v>4.0599999999999996</v>
      </c>
      <c r="J129" s="77">
        <f>TRUNC(H129*I129,2)</f>
        <v>4.3</v>
      </c>
      <c r="K129" s="78"/>
    </row>
    <row r="130" spans="1:13" ht="15" customHeight="1" x14ac:dyDescent="0.25">
      <c r="A130" s="16" t="s">
        <v>114</v>
      </c>
      <c r="B130" s="19">
        <v>38383</v>
      </c>
      <c r="C130" s="74" t="str">
        <f>VLOOKUP(B130,IF(A130="COMPOSICAO",S!$A:$D,I!$A:$D),2,FALSE)</f>
        <v>LIXA D'AGUA EM FOLHA, GRAO 100</v>
      </c>
      <c r="D130" s="74"/>
      <c r="E130" s="74"/>
      <c r="F130" s="74"/>
      <c r="G130" s="16" t="str">
        <f>VLOOKUP(B130,IF(A130="COMPOSICAO",S!$A:$D,I!$A:$D),3,FALSE)</f>
        <v>UN</v>
      </c>
      <c r="H130" s="28">
        <v>0.123</v>
      </c>
      <c r="I130" s="17">
        <f>IF(A130="COMPOSICAO",VLOOKUP("TOTAL - "&amp;B130,COMPOSICAO_AUX_2!$A:$J,10,FALSE),VLOOKUP(B130,I!$A:$D,4,FALSE))</f>
        <v>1.91</v>
      </c>
      <c r="J130" s="77">
        <f>TRUNC(H130*I130,2)</f>
        <v>0.23</v>
      </c>
      <c r="K130" s="78"/>
    </row>
    <row r="131" spans="1:13" ht="30" customHeight="1" x14ac:dyDescent="0.25">
      <c r="A131" s="16" t="s">
        <v>115</v>
      </c>
      <c r="B131" s="19">
        <v>88248</v>
      </c>
      <c r="C131" s="74" t="str">
        <f>VLOOKUP(B131,IF(A131="COMPOSICAO",S!$A:$D,I!$A:$D),2,FALSE)</f>
        <v>AUXILIAR DE ENCANADOR OU BOMBEIRO HIDRÁULICO COM ENCARGOS COMPLEMENTARES</v>
      </c>
      <c r="D131" s="74"/>
      <c r="E131" s="74"/>
      <c r="F131" s="74"/>
      <c r="G131" s="16" t="str">
        <f>VLOOKUP(B131,IF(A131="COMPOSICAO",S!$A:$D,I!$A:$D),3,FALSE)</f>
        <v>H</v>
      </c>
      <c r="H131" s="28">
        <v>0.36899999999999999</v>
      </c>
      <c r="I131" s="17">
        <f>IF(A131="COMPOSICAO",VLOOKUP("TOTAL - "&amp;B131,COMPOSICAO_AUX_2!$A:$J,10,FALSE),VLOOKUP(B131,I!$A:$D,4,FALSE))</f>
        <v>15.83</v>
      </c>
      <c r="J131" s="77">
        <f>TRUNC(H131*I131,2)</f>
        <v>5.84</v>
      </c>
      <c r="K131" s="78"/>
    </row>
    <row r="132" spans="1:13" ht="30" customHeight="1" x14ac:dyDescent="0.25">
      <c r="A132" s="16" t="s">
        <v>115</v>
      </c>
      <c r="B132" s="19">
        <v>88267</v>
      </c>
      <c r="C132" s="74" t="str">
        <f>VLOOKUP(B132,IF(A132="COMPOSICAO",S!$A:$D,I!$A:$D),2,FALSE)</f>
        <v>ENCANADOR OU BOMBEIRO HIDRÁULICO COM ENCARGOS COMPLEMENTARES</v>
      </c>
      <c r="D132" s="74"/>
      <c r="E132" s="74"/>
      <c r="F132" s="74"/>
      <c r="G132" s="16" t="str">
        <f>VLOOKUP(B132,IF(A132="COMPOSICAO",S!$A:$D,I!$A:$D),3,FALSE)</f>
        <v>H</v>
      </c>
      <c r="H132" s="28">
        <v>0.36899999999999999</v>
      </c>
      <c r="I132" s="17">
        <f>IF(A132="COMPOSICAO",VLOOKUP("TOTAL - "&amp;B132,COMPOSICAO_AUX_2!$A:$J,10,FALSE),VLOOKUP(B132,I!$A:$D,4,FALSE))</f>
        <v>20.23</v>
      </c>
      <c r="J132" s="77">
        <f>TRUNC(H132*I132,2)</f>
        <v>7.46</v>
      </c>
      <c r="K132" s="78"/>
    </row>
    <row r="133" spans="1:13" ht="15" customHeight="1" x14ac:dyDescent="0.25">
      <c r="A133" s="23" t="s">
        <v>165</v>
      </c>
      <c r="B133" s="24"/>
      <c r="C133" s="24"/>
      <c r="D133" s="24"/>
      <c r="E133" s="24"/>
      <c r="F133" s="24"/>
      <c r="G133" s="25"/>
      <c r="H133" s="26"/>
      <c r="I133" s="27"/>
      <c r="J133" s="77">
        <f>SUM(J128:K132)</f>
        <v>17.830000000000002</v>
      </c>
      <c r="K133" s="78"/>
    </row>
    <row r="134" spans="1:13" ht="15" customHeight="1" x14ac:dyDescent="0.25">
      <c r="A134" s="3"/>
      <c r="B134" s="3"/>
      <c r="C134" s="3"/>
      <c r="D134" s="3"/>
      <c r="E134" s="3"/>
      <c r="F134" s="3"/>
      <c r="G134" s="3"/>
      <c r="H134" s="3"/>
      <c r="I134" s="3"/>
      <c r="J134" s="3"/>
      <c r="K134" s="3"/>
    </row>
    <row r="135" spans="1:13" ht="15" customHeight="1" x14ac:dyDescent="0.25">
      <c r="A135" s="10" t="s">
        <v>110</v>
      </c>
      <c r="B135" s="10" t="s">
        <v>31</v>
      </c>
      <c r="C135" s="79" t="s">
        <v>8</v>
      </c>
      <c r="D135" s="80"/>
      <c r="E135" s="80"/>
      <c r="F135" s="80"/>
      <c r="G135" s="6" t="s">
        <v>32</v>
      </c>
      <c r="H135" s="6" t="s">
        <v>111</v>
      </c>
      <c r="I135" s="6" t="s">
        <v>112</v>
      </c>
      <c r="J135" s="51" t="s">
        <v>10</v>
      </c>
      <c r="K135" s="52"/>
    </row>
    <row r="136" spans="1:13" ht="45" customHeight="1" x14ac:dyDescent="0.25">
      <c r="A136" s="6" t="s">
        <v>139</v>
      </c>
      <c r="B136" s="20">
        <v>89362</v>
      </c>
      <c r="C136" s="81" t="str">
        <f>VLOOKUP(B136,S!$A:$D,2,FALSE)</f>
        <v>JOELHO 90 GRAUS, PVC, SOLDÁVEL, DN 25MM, INSTALADO EM RAMAL OU SUB-RAMAL DE ÁGUA - FORNECIMENTO E INSTALAÇÃO. AF_12/2014</v>
      </c>
      <c r="D136" s="81"/>
      <c r="E136" s="81"/>
      <c r="F136" s="82"/>
      <c r="G136" s="6" t="str">
        <f>VLOOKUP(B136,S!$A:$D,3,FALSE)</f>
        <v>UN</v>
      </c>
      <c r="H136" s="21"/>
      <c r="I136" s="21">
        <f>J143</f>
        <v>7.24</v>
      </c>
      <c r="J136" s="73"/>
      <c r="K136" s="69"/>
      <c r="L136" s="21">
        <f>VLOOKUP(B136,S!$A:$D,4,FALSE)</f>
        <v>7.24</v>
      </c>
      <c r="M136" s="6" t="str">
        <f>IF(ROUND((L136-I136),2)=0,"OK, confere com a tabela.",IF(ROUND((L136-I136),2)&lt;0,"ACIMA ("&amp;TEXT(ROUND(I136*100/L136,4),"0,0000")&amp;" %) da tabela.","ABAIXO ("&amp;TEXT(ROUND(I136*100/L136,4),"0,0000")&amp;" %) da tabela."))</f>
        <v>OK, confere com a tabela.</v>
      </c>
    </row>
    <row r="137" spans="1:13" ht="30" customHeight="1" x14ac:dyDescent="0.25">
      <c r="A137" s="16" t="s">
        <v>114</v>
      </c>
      <c r="B137" s="19">
        <v>122</v>
      </c>
      <c r="C137" s="74" t="str">
        <f>VLOOKUP(B137,IF(A137="COMPOSICAO",S!$A:$D,I!$A:$D),2,FALSE)</f>
        <v>ADESIVO PLASTICO PARA PVC, FRASCO COM *850* GR</v>
      </c>
      <c r="D137" s="74"/>
      <c r="E137" s="74"/>
      <c r="F137" s="74"/>
      <c r="G137" s="16" t="str">
        <f>VLOOKUP(B137,IF(A137="COMPOSICAO",S!$A:$D,I!$A:$D),3,FALSE)</f>
        <v>UN</v>
      </c>
      <c r="H137" s="28">
        <v>7.0000000000000001E-3</v>
      </c>
      <c r="I137" s="17">
        <f>IF(A137="COMPOSICAO",VLOOKUP("TOTAL - "&amp;B137,COMPOSICAO_AUX_2!$A:$J,10,FALSE),VLOOKUP(B137,I!$A:$D,4,FALSE))</f>
        <v>59.86</v>
      </c>
      <c r="J137" s="77">
        <f t="shared" ref="J137:J142" si="8">TRUNC(H137*I137,2)</f>
        <v>0.41</v>
      </c>
      <c r="K137" s="78"/>
    </row>
    <row r="138" spans="1:13" ht="30" customHeight="1" x14ac:dyDescent="0.25">
      <c r="A138" s="16" t="s">
        <v>114</v>
      </c>
      <c r="B138" s="19">
        <v>3529</v>
      </c>
      <c r="C138" s="74" t="str">
        <f>VLOOKUP(B138,IF(A138="COMPOSICAO",S!$A:$D,I!$A:$D),2,FALSE)</f>
        <v>JOELHO PVC, SOLDAVEL, 90 GRAUS, 25 MM, PARA AGUA FRIA PREDIAL</v>
      </c>
      <c r="D138" s="74"/>
      <c r="E138" s="74"/>
      <c r="F138" s="74"/>
      <c r="G138" s="16" t="str">
        <f>VLOOKUP(B138,IF(A138="COMPOSICAO",S!$A:$D,I!$A:$D),3,FALSE)</f>
        <v>UN</v>
      </c>
      <c r="H138" s="17">
        <v>1</v>
      </c>
      <c r="I138" s="17">
        <f>IF(A138="COMPOSICAO",VLOOKUP("TOTAL - "&amp;B138,COMPOSICAO_AUX_2!$A:$J,10,FALSE),VLOOKUP(B138,I!$A:$D,4,FALSE))</f>
        <v>0.8</v>
      </c>
      <c r="J138" s="77">
        <f t="shared" si="8"/>
        <v>0.8</v>
      </c>
      <c r="K138" s="78"/>
    </row>
    <row r="139" spans="1:13" ht="30" customHeight="1" x14ac:dyDescent="0.25">
      <c r="A139" s="16" t="s">
        <v>114</v>
      </c>
      <c r="B139" s="19">
        <v>20083</v>
      </c>
      <c r="C139" s="74" t="str">
        <f>VLOOKUP(B139,IF(A139="COMPOSICAO",S!$A:$D,I!$A:$D),2,FALSE)</f>
        <v>SOLUCAO PREPARADORA / LIMPADORA PARA PVC, FRASCO COM 1000 CM3</v>
      </c>
      <c r="D139" s="74"/>
      <c r="E139" s="74"/>
      <c r="F139" s="74"/>
      <c r="G139" s="16" t="str">
        <f>VLOOKUP(B139,IF(A139="COMPOSICAO",S!$A:$D,I!$A:$D),3,FALSE)</f>
        <v>UN</v>
      </c>
      <c r="H139" s="28">
        <v>8.0000000000000002E-3</v>
      </c>
      <c r="I139" s="17">
        <f>IF(A139="COMPOSICAO",VLOOKUP("TOTAL - "&amp;B139,COMPOSICAO_AUX_2!$A:$J,10,FALSE),VLOOKUP(B139,I!$A:$D,4,FALSE))</f>
        <v>67.819999999999993</v>
      </c>
      <c r="J139" s="77">
        <f t="shared" si="8"/>
        <v>0.54</v>
      </c>
      <c r="K139" s="78"/>
    </row>
    <row r="140" spans="1:13" ht="15" customHeight="1" x14ac:dyDescent="0.25">
      <c r="A140" s="16" t="s">
        <v>114</v>
      </c>
      <c r="B140" s="19">
        <v>38383</v>
      </c>
      <c r="C140" s="74" t="str">
        <f>VLOOKUP(B140,IF(A140="COMPOSICAO",S!$A:$D,I!$A:$D),2,FALSE)</f>
        <v>LIXA D'AGUA EM FOLHA, GRAO 100</v>
      </c>
      <c r="D140" s="74"/>
      <c r="E140" s="74"/>
      <c r="F140" s="74"/>
      <c r="G140" s="16" t="str">
        <f>VLOOKUP(B140,IF(A140="COMPOSICAO",S!$A:$D,I!$A:$D),3,FALSE)</f>
        <v>UN</v>
      </c>
      <c r="H140" s="17">
        <v>0.05</v>
      </c>
      <c r="I140" s="17">
        <f>IF(A140="COMPOSICAO",VLOOKUP("TOTAL - "&amp;B140,COMPOSICAO_AUX_2!$A:$J,10,FALSE),VLOOKUP(B140,I!$A:$D,4,FALSE))</f>
        <v>1.91</v>
      </c>
      <c r="J140" s="77">
        <f t="shared" si="8"/>
        <v>0.09</v>
      </c>
      <c r="K140" s="78"/>
    </row>
    <row r="141" spans="1:13" ht="30" customHeight="1" x14ac:dyDescent="0.25">
      <c r="A141" s="16" t="s">
        <v>115</v>
      </c>
      <c r="B141" s="19">
        <v>88248</v>
      </c>
      <c r="C141" s="74" t="str">
        <f>VLOOKUP(B141,IF(A141="COMPOSICAO",S!$A:$D,I!$A:$D),2,FALSE)</f>
        <v>AUXILIAR DE ENCANADOR OU BOMBEIRO HIDRÁULICO COM ENCARGOS COMPLEMENTARES</v>
      </c>
      <c r="D141" s="74"/>
      <c r="E141" s="74"/>
      <c r="F141" s="74"/>
      <c r="G141" s="16" t="str">
        <f>VLOOKUP(B141,IF(A141="COMPOSICAO",S!$A:$D,I!$A:$D),3,FALSE)</f>
        <v>H</v>
      </c>
      <c r="H141" s="17">
        <v>0.15</v>
      </c>
      <c r="I141" s="17">
        <f>IF(A141="COMPOSICAO",VLOOKUP("TOTAL - "&amp;B141,COMPOSICAO_AUX_2!$A:$J,10,FALSE),VLOOKUP(B141,I!$A:$D,4,FALSE))</f>
        <v>15.83</v>
      </c>
      <c r="J141" s="77">
        <f t="shared" si="8"/>
        <v>2.37</v>
      </c>
      <c r="K141" s="78"/>
    </row>
    <row r="142" spans="1:13" ht="30" customHeight="1" x14ac:dyDescent="0.25">
      <c r="A142" s="16" t="s">
        <v>115</v>
      </c>
      <c r="B142" s="19">
        <v>88267</v>
      </c>
      <c r="C142" s="74" t="str">
        <f>VLOOKUP(B142,IF(A142="COMPOSICAO",S!$A:$D,I!$A:$D),2,FALSE)</f>
        <v>ENCANADOR OU BOMBEIRO HIDRÁULICO COM ENCARGOS COMPLEMENTARES</v>
      </c>
      <c r="D142" s="74"/>
      <c r="E142" s="74"/>
      <c r="F142" s="74"/>
      <c r="G142" s="16" t="str">
        <f>VLOOKUP(B142,IF(A142="COMPOSICAO",S!$A:$D,I!$A:$D),3,FALSE)</f>
        <v>H</v>
      </c>
      <c r="H142" s="17">
        <v>0.15</v>
      </c>
      <c r="I142" s="17">
        <f>IF(A142="COMPOSICAO",VLOOKUP("TOTAL - "&amp;B142,COMPOSICAO_AUX_2!$A:$J,10,FALSE),VLOOKUP(B142,I!$A:$D,4,FALSE))</f>
        <v>20.23</v>
      </c>
      <c r="J142" s="77">
        <f t="shared" si="8"/>
        <v>3.03</v>
      </c>
      <c r="K142" s="78"/>
    </row>
    <row r="143" spans="1:13" ht="15" customHeight="1" x14ac:dyDescent="0.25">
      <c r="A143" s="23" t="s">
        <v>166</v>
      </c>
      <c r="B143" s="24"/>
      <c r="C143" s="24"/>
      <c r="D143" s="24"/>
      <c r="E143" s="24"/>
      <c r="F143" s="24"/>
      <c r="G143" s="25"/>
      <c r="H143" s="26"/>
      <c r="I143" s="27"/>
      <c r="J143" s="77">
        <f>SUM(J136:K142)</f>
        <v>7.24</v>
      </c>
      <c r="K143" s="78"/>
    </row>
    <row r="144" spans="1:13" ht="15" customHeight="1" x14ac:dyDescent="0.25">
      <c r="A144" s="3"/>
      <c r="B144" s="3"/>
      <c r="C144" s="3"/>
      <c r="D144" s="3"/>
      <c r="E144" s="3"/>
      <c r="F144" s="3"/>
      <c r="G144" s="3"/>
      <c r="H144" s="3"/>
      <c r="I144" s="3"/>
      <c r="J144" s="3"/>
      <c r="K144" s="3"/>
    </row>
    <row r="145" spans="1:13" ht="15" customHeight="1" x14ac:dyDescent="0.25">
      <c r="A145" s="10" t="s">
        <v>110</v>
      </c>
      <c r="B145" s="10" t="s">
        <v>31</v>
      </c>
      <c r="C145" s="79" t="s">
        <v>8</v>
      </c>
      <c r="D145" s="80"/>
      <c r="E145" s="80"/>
      <c r="F145" s="80"/>
      <c r="G145" s="6" t="s">
        <v>32</v>
      </c>
      <c r="H145" s="6" t="s">
        <v>111</v>
      </c>
      <c r="I145" s="6" t="s">
        <v>112</v>
      </c>
      <c r="J145" s="51" t="s">
        <v>10</v>
      </c>
      <c r="K145" s="52"/>
    </row>
    <row r="146" spans="1:13" ht="60" customHeight="1" x14ac:dyDescent="0.25">
      <c r="A146" s="6" t="s">
        <v>139</v>
      </c>
      <c r="B146" s="20">
        <v>89366</v>
      </c>
      <c r="C146" s="81" t="str">
        <f>VLOOKUP(B146,S!$A:$D,2,FALSE)</f>
        <v>JOELHO 90 GRAUS COM BUCHA DE LATÃO, PVC, SOLDÁVEL, DN 25MM, X 3/4 INSTALADO EM RAMAL OU SUB-RAMAL DE ÁGUA - FORNECIMENTO E INSTALAÇÃO. AF_12/2014</v>
      </c>
      <c r="D146" s="81"/>
      <c r="E146" s="81"/>
      <c r="F146" s="82"/>
      <c r="G146" s="6" t="str">
        <f>VLOOKUP(B146,S!$A:$D,3,FALSE)</f>
        <v>UN</v>
      </c>
      <c r="H146" s="21"/>
      <c r="I146" s="21">
        <f>J153</f>
        <v>14.37</v>
      </c>
      <c r="J146" s="73"/>
      <c r="K146" s="69"/>
      <c r="L146" s="21">
        <f>VLOOKUP(B146,S!$A:$D,4,FALSE)</f>
        <v>14.37</v>
      </c>
      <c r="M146" s="6" t="str">
        <f>IF(ROUND((L146-I146),2)=0,"OK, confere com a tabela.",IF(ROUND((L146-I146),2)&lt;0,"ACIMA ("&amp;TEXT(ROUND(I146*100/L146,4),"0,0000")&amp;" %) da tabela.","ABAIXO ("&amp;TEXT(ROUND(I146*100/L146,4),"0,0000")&amp;" %) da tabela."))</f>
        <v>OK, confere com a tabela.</v>
      </c>
    </row>
    <row r="147" spans="1:13" ht="30" customHeight="1" x14ac:dyDescent="0.25">
      <c r="A147" s="16" t="s">
        <v>114</v>
      </c>
      <c r="B147" s="19">
        <v>122</v>
      </c>
      <c r="C147" s="74" t="str">
        <f>VLOOKUP(B147,IF(A147="COMPOSICAO",S!$A:$D,I!$A:$D),2,FALSE)</f>
        <v>ADESIVO PLASTICO PARA PVC, FRASCO COM *850* GR</v>
      </c>
      <c r="D147" s="74"/>
      <c r="E147" s="74"/>
      <c r="F147" s="74"/>
      <c r="G147" s="16" t="str">
        <f>VLOOKUP(B147,IF(A147="COMPOSICAO",S!$A:$D,I!$A:$D),3,FALSE)</f>
        <v>UN</v>
      </c>
      <c r="H147" s="28">
        <v>7.0000000000000001E-3</v>
      </c>
      <c r="I147" s="17">
        <f>IF(A147="COMPOSICAO",VLOOKUP("TOTAL - "&amp;B147,COMPOSICAO_AUX_2!$A:$J,10,FALSE),VLOOKUP(B147,I!$A:$D,4,FALSE))</f>
        <v>59.86</v>
      </c>
      <c r="J147" s="77">
        <f t="shared" ref="J147:J152" si="9">TRUNC(H147*I147,2)</f>
        <v>0.41</v>
      </c>
      <c r="K147" s="78"/>
    </row>
    <row r="148" spans="1:13" ht="30" customHeight="1" x14ac:dyDescent="0.25">
      <c r="A148" s="16" t="s">
        <v>114</v>
      </c>
      <c r="B148" s="19">
        <v>3524</v>
      </c>
      <c r="C148" s="74" t="str">
        <f>VLOOKUP(B148,IF(A148="COMPOSICAO",S!$A:$D,I!$A:$D),2,FALSE)</f>
        <v>JOELHO PVC, SOLDAVEL, COM BUCHA DE LATAO, 90 GRAUS, 25 MM X 3/4", PARA AGUA FRIA PREDIAL</v>
      </c>
      <c r="D148" s="74"/>
      <c r="E148" s="74"/>
      <c r="F148" s="74"/>
      <c r="G148" s="16" t="str">
        <f>VLOOKUP(B148,IF(A148="COMPOSICAO",S!$A:$D,I!$A:$D),3,FALSE)</f>
        <v>UN</v>
      </c>
      <c r="H148" s="17">
        <v>1</v>
      </c>
      <c r="I148" s="17">
        <f>IF(A148="COMPOSICAO",VLOOKUP("TOTAL - "&amp;B148,COMPOSICAO_AUX_2!$A:$J,10,FALSE),VLOOKUP(B148,I!$A:$D,4,FALSE))</f>
        <v>7.93</v>
      </c>
      <c r="J148" s="77">
        <f t="shared" si="9"/>
        <v>7.93</v>
      </c>
      <c r="K148" s="78"/>
    </row>
    <row r="149" spans="1:13" ht="30" customHeight="1" x14ac:dyDescent="0.25">
      <c r="A149" s="16" t="s">
        <v>114</v>
      </c>
      <c r="B149" s="19">
        <v>20083</v>
      </c>
      <c r="C149" s="74" t="str">
        <f>VLOOKUP(B149,IF(A149="COMPOSICAO",S!$A:$D,I!$A:$D),2,FALSE)</f>
        <v>SOLUCAO PREPARADORA / LIMPADORA PARA PVC, FRASCO COM 1000 CM3</v>
      </c>
      <c r="D149" s="74"/>
      <c r="E149" s="74"/>
      <c r="F149" s="74"/>
      <c r="G149" s="16" t="str">
        <f>VLOOKUP(B149,IF(A149="COMPOSICAO",S!$A:$D,I!$A:$D),3,FALSE)</f>
        <v>UN</v>
      </c>
      <c r="H149" s="28">
        <v>8.0000000000000002E-3</v>
      </c>
      <c r="I149" s="17">
        <f>IF(A149="COMPOSICAO",VLOOKUP("TOTAL - "&amp;B149,COMPOSICAO_AUX_2!$A:$J,10,FALSE),VLOOKUP(B149,I!$A:$D,4,FALSE))</f>
        <v>67.819999999999993</v>
      </c>
      <c r="J149" s="77">
        <f t="shared" si="9"/>
        <v>0.54</v>
      </c>
      <c r="K149" s="78"/>
    </row>
    <row r="150" spans="1:13" ht="15" customHeight="1" x14ac:dyDescent="0.25">
      <c r="A150" s="16" t="s">
        <v>114</v>
      </c>
      <c r="B150" s="19">
        <v>38383</v>
      </c>
      <c r="C150" s="74" t="str">
        <f>VLOOKUP(B150,IF(A150="COMPOSICAO",S!$A:$D,I!$A:$D),2,FALSE)</f>
        <v>LIXA D'AGUA EM FOLHA, GRAO 100</v>
      </c>
      <c r="D150" s="74"/>
      <c r="E150" s="74"/>
      <c r="F150" s="74"/>
      <c r="G150" s="16" t="str">
        <f>VLOOKUP(B150,IF(A150="COMPOSICAO",S!$A:$D,I!$A:$D),3,FALSE)</f>
        <v>UN</v>
      </c>
      <c r="H150" s="17">
        <v>0.05</v>
      </c>
      <c r="I150" s="17">
        <f>IF(A150="COMPOSICAO",VLOOKUP("TOTAL - "&amp;B150,COMPOSICAO_AUX_2!$A:$J,10,FALSE),VLOOKUP(B150,I!$A:$D,4,FALSE))</f>
        <v>1.91</v>
      </c>
      <c r="J150" s="77">
        <f t="shared" si="9"/>
        <v>0.09</v>
      </c>
      <c r="K150" s="78"/>
    </row>
    <row r="151" spans="1:13" ht="30" customHeight="1" x14ac:dyDescent="0.25">
      <c r="A151" s="16" t="s">
        <v>115</v>
      </c>
      <c r="B151" s="19">
        <v>88248</v>
      </c>
      <c r="C151" s="74" t="str">
        <f>VLOOKUP(B151,IF(A151="COMPOSICAO",S!$A:$D,I!$A:$D),2,FALSE)</f>
        <v>AUXILIAR DE ENCANADOR OU BOMBEIRO HIDRÁULICO COM ENCARGOS COMPLEMENTARES</v>
      </c>
      <c r="D151" s="74"/>
      <c r="E151" s="74"/>
      <c r="F151" s="74"/>
      <c r="G151" s="16" t="str">
        <f>VLOOKUP(B151,IF(A151="COMPOSICAO",S!$A:$D,I!$A:$D),3,FALSE)</f>
        <v>H</v>
      </c>
      <c r="H151" s="17">
        <v>0.15</v>
      </c>
      <c r="I151" s="17">
        <f>IF(A151="COMPOSICAO",VLOOKUP("TOTAL - "&amp;B151,COMPOSICAO_AUX_2!$A:$J,10,FALSE),VLOOKUP(B151,I!$A:$D,4,FALSE))</f>
        <v>15.83</v>
      </c>
      <c r="J151" s="77">
        <f t="shared" si="9"/>
        <v>2.37</v>
      </c>
      <c r="K151" s="78"/>
    </row>
    <row r="152" spans="1:13" ht="30" customHeight="1" x14ac:dyDescent="0.25">
      <c r="A152" s="16" t="s">
        <v>115</v>
      </c>
      <c r="B152" s="19">
        <v>88267</v>
      </c>
      <c r="C152" s="74" t="str">
        <f>VLOOKUP(B152,IF(A152="COMPOSICAO",S!$A:$D,I!$A:$D),2,FALSE)</f>
        <v>ENCANADOR OU BOMBEIRO HIDRÁULICO COM ENCARGOS COMPLEMENTARES</v>
      </c>
      <c r="D152" s="74"/>
      <c r="E152" s="74"/>
      <c r="F152" s="74"/>
      <c r="G152" s="16" t="str">
        <f>VLOOKUP(B152,IF(A152="COMPOSICAO",S!$A:$D,I!$A:$D),3,FALSE)</f>
        <v>H</v>
      </c>
      <c r="H152" s="17">
        <v>0.15</v>
      </c>
      <c r="I152" s="17">
        <f>IF(A152="COMPOSICAO",VLOOKUP("TOTAL - "&amp;B152,COMPOSICAO_AUX_2!$A:$J,10,FALSE),VLOOKUP(B152,I!$A:$D,4,FALSE))</f>
        <v>20.23</v>
      </c>
      <c r="J152" s="77">
        <f t="shared" si="9"/>
        <v>3.03</v>
      </c>
      <c r="K152" s="78"/>
    </row>
    <row r="153" spans="1:13" ht="15" customHeight="1" x14ac:dyDescent="0.25">
      <c r="A153" s="23" t="s">
        <v>167</v>
      </c>
      <c r="B153" s="24"/>
      <c r="C153" s="24"/>
      <c r="D153" s="24"/>
      <c r="E153" s="24"/>
      <c r="F153" s="24"/>
      <c r="G153" s="25"/>
      <c r="H153" s="26"/>
      <c r="I153" s="27"/>
      <c r="J153" s="77">
        <f>SUM(J146:K152)</f>
        <v>14.37</v>
      </c>
      <c r="K153" s="78"/>
    </row>
    <row r="154" spans="1:13" ht="15" customHeight="1" x14ac:dyDescent="0.25">
      <c r="A154" s="3"/>
      <c r="B154" s="3"/>
      <c r="C154" s="3"/>
      <c r="D154" s="3"/>
      <c r="E154" s="3"/>
      <c r="F154" s="3"/>
      <c r="G154" s="3"/>
      <c r="H154" s="3"/>
      <c r="I154" s="3"/>
      <c r="J154" s="3"/>
      <c r="K154" s="3"/>
    </row>
    <row r="155" spans="1:13" ht="15" customHeight="1" x14ac:dyDescent="0.25">
      <c r="A155" s="10" t="s">
        <v>110</v>
      </c>
      <c r="B155" s="10" t="s">
        <v>31</v>
      </c>
      <c r="C155" s="79" t="s">
        <v>8</v>
      </c>
      <c r="D155" s="80"/>
      <c r="E155" s="80"/>
      <c r="F155" s="80"/>
      <c r="G155" s="6" t="s">
        <v>32</v>
      </c>
      <c r="H155" s="6" t="s">
        <v>111</v>
      </c>
      <c r="I155" s="6" t="s">
        <v>112</v>
      </c>
      <c r="J155" s="51" t="s">
        <v>10</v>
      </c>
      <c r="K155" s="52"/>
    </row>
    <row r="156" spans="1:13" ht="45" customHeight="1" x14ac:dyDescent="0.25">
      <c r="A156" s="6" t="s">
        <v>139</v>
      </c>
      <c r="B156" s="20">
        <v>89395</v>
      </c>
      <c r="C156" s="81" t="str">
        <f>VLOOKUP(B156,S!$A:$D,2,FALSE)</f>
        <v>TE, PVC, SOLDÁVEL, DN 25MM, INSTALADO EM RAMAL OU SUB-RAMAL DE ÁGUA - FORNECIMENTO E INSTALAÇÃO. AF_12/2014</v>
      </c>
      <c r="D156" s="81"/>
      <c r="E156" s="81"/>
      <c r="F156" s="82"/>
      <c r="G156" s="6" t="str">
        <f>VLOOKUP(B156,S!$A:$D,3,FALSE)</f>
        <v>UN</v>
      </c>
      <c r="H156" s="21"/>
      <c r="I156" s="21">
        <f>J163</f>
        <v>10.16</v>
      </c>
      <c r="J156" s="73"/>
      <c r="K156" s="69"/>
      <c r="L156" s="21">
        <f>VLOOKUP(B156,S!$A:$D,4,FALSE)</f>
        <v>10.16</v>
      </c>
      <c r="M156" s="6" t="str">
        <f>IF(ROUND((L156-I156),2)=0,"OK, confere com a tabela.",IF(ROUND((L156-I156),2)&lt;0,"ACIMA ("&amp;TEXT(ROUND(I156*100/L156,4),"0,0000")&amp;" %) da tabela.","ABAIXO ("&amp;TEXT(ROUND(I156*100/L156,4),"0,0000")&amp;" %) da tabela."))</f>
        <v>OK, confere com a tabela.</v>
      </c>
    </row>
    <row r="157" spans="1:13" ht="30" customHeight="1" x14ac:dyDescent="0.25">
      <c r="A157" s="16" t="s">
        <v>114</v>
      </c>
      <c r="B157" s="19">
        <v>122</v>
      </c>
      <c r="C157" s="74" t="str">
        <f>VLOOKUP(B157,IF(A157="COMPOSICAO",S!$A:$D,I!$A:$D),2,FALSE)</f>
        <v>ADESIVO PLASTICO PARA PVC, FRASCO COM *850* GR</v>
      </c>
      <c r="D157" s="74"/>
      <c r="E157" s="74"/>
      <c r="F157" s="74"/>
      <c r="G157" s="16" t="str">
        <f>VLOOKUP(B157,IF(A157="COMPOSICAO",S!$A:$D,I!$A:$D),3,FALSE)</f>
        <v>UN</v>
      </c>
      <c r="H157" s="28">
        <v>1.0999999999999999E-2</v>
      </c>
      <c r="I157" s="17">
        <f>IF(A157="COMPOSICAO",VLOOKUP("TOTAL - "&amp;B157,COMPOSICAO_AUX_2!$A:$J,10,FALSE),VLOOKUP(B157,I!$A:$D,4,FALSE))</f>
        <v>59.86</v>
      </c>
      <c r="J157" s="77">
        <f t="shared" ref="J157:J162" si="10">TRUNC(H157*I157,2)</f>
        <v>0.65</v>
      </c>
      <c r="K157" s="78"/>
    </row>
    <row r="158" spans="1:13" ht="30" customHeight="1" x14ac:dyDescent="0.25">
      <c r="A158" s="16" t="s">
        <v>114</v>
      </c>
      <c r="B158" s="19">
        <v>7139</v>
      </c>
      <c r="C158" s="74" t="str">
        <f>VLOOKUP(B158,IF(A158="COMPOSICAO",S!$A:$D,I!$A:$D),2,FALSE)</f>
        <v>TE SOLDAVEL, PVC, 90 GRAUS, 25 MM, PARA AGUA FRIA PREDIAL (NBR 5648)</v>
      </c>
      <c r="D158" s="74"/>
      <c r="E158" s="74"/>
      <c r="F158" s="74"/>
      <c r="G158" s="16" t="str">
        <f>VLOOKUP(B158,IF(A158="COMPOSICAO",S!$A:$D,I!$A:$D),3,FALSE)</f>
        <v>UN</v>
      </c>
      <c r="H158" s="17">
        <v>1</v>
      </c>
      <c r="I158" s="17">
        <f>IF(A158="COMPOSICAO",VLOOKUP("TOTAL - "&amp;B158,COMPOSICAO_AUX_2!$A:$J,10,FALSE),VLOOKUP(B158,I!$A:$D,4,FALSE))</f>
        <v>1.36</v>
      </c>
      <c r="J158" s="77">
        <f t="shared" si="10"/>
        <v>1.36</v>
      </c>
      <c r="K158" s="78"/>
    </row>
    <row r="159" spans="1:13" ht="30" customHeight="1" x14ac:dyDescent="0.25">
      <c r="A159" s="16" t="s">
        <v>114</v>
      </c>
      <c r="B159" s="19">
        <v>20083</v>
      </c>
      <c r="C159" s="74" t="str">
        <f>VLOOKUP(B159,IF(A159="COMPOSICAO",S!$A:$D,I!$A:$D),2,FALSE)</f>
        <v>SOLUCAO PREPARADORA / LIMPADORA PARA PVC, FRASCO COM 1000 CM3</v>
      </c>
      <c r="D159" s="74"/>
      <c r="E159" s="74"/>
      <c r="F159" s="74"/>
      <c r="G159" s="16" t="str">
        <f>VLOOKUP(B159,IF(A159="COMPOSICAO",S!$A:$D,I!$A:$D),3,FALSE)</f>
        <v>UN</v>
      </c>
      <c r="H159" s="28">
        <v>1.2E-2</v>
      </c>
      <c r="I159" s="17">
        <f>IF(A159="COMPOSICAO",VLOOKUP("TOTAL - "&amp;B159,COMPOSICAO_AUX_2!$A:$J,10,FALSE),VLOOKUP(B159,I!$A:$D,4,FALSE))</f>
        <v>67.819999999999993</v>
      </c>
      <c r="J159" s="77">
        <f t="shared" si="10"/>
        <v>0.81</v>
      </c>
      <c r="K159" s="78"/>
    </row>
    <row r="160" spans="1:13" ht="15" customHeight="1" x14ac:dyDescent="0.25">
      <c r="A160" s="16" t="s">
        <v>114</v>
      </c>
      <c r="B160" s="19">
        <v>38383</v>
      </c>
      <c r="C160" s="74" t="str">
        <f>VLOOKUP(B160,IF(A160="COMPOSICAO",S!$A:$D,I!$A:$D),2,FALSE)</f>
        <v>LIXA D'AGUA EM FOLHA, GRAO 100</v>
      </c>
      <c r="D160" s="74"/>
      <c r="E160" s="74"/>
      <c r="F160" s="74"/>
      <c r="G160" s="16" t="str">
        <f>VLOOKUP(B160,IF(A160="COMPOSICAO",S!$A:$D,I!$A:$D),3,FALSE)</f>
        <v>UN</v>
      </c>
      <c r="H160" s="28">
        <v>7.4999999999999997E-2</v>
      </c>
      <c r="I160" s="17">
        <f>IF(A160="COMPOSICAO",VLOOKUP("TOTAL - "&amp;B160,COMPOSICAO_AUX_2!$A:$J,10,FALSE),VLOOKUP(B160,I!$A:$D,4,FALSE))</f>
        <v>1.91</v>
      </c>
      <c r="J160" s="77">
        <f t="shared" si="10"/>
        <v>0.14000000000000001</v>
      </c>
      <c r="K160" s="78"/>
    </row>
    <row r="161" spans="1:13" ht="30" customHeight="1" x14ac:dyDescent="0.25">
      <c r="A161" s="16" t="s">
        <v>115</v>
      </c>
      <c r="B161" s="19">
        <v>88248</v>
      </c>
      <c r="C161" s="74" t="str">
        <f>VLOOKUP(B161,IF(A161="COMPOSICAO",S!$A:$D,I!$A:$D),2,FALSE)</f>
        <v>AUXILIAR DE ENCANADOR OU BOMBEIRO HIDRÁULICO COM ENCARGOS COMPLEMENTARES</v>
      </c>
      <c r="D161" s="74"/>
      <c r="E161" s="74"/>
      <c r="F161" s="74"/>
      <c r="G161" s="16" t="str">
        <f>VLOOKUP(B161,IF(A161="COMPOSICAO",S!$A:$D,I!$A:$D),3,FALSE)</f>
        <v>H</v>
      </c>
      <c r="H161" s="17">
        <v>0.2</v>
      </c>
      <c r="I161" s="17">
        <f>IF(A161="COMPOSICAO",VLOOKUP("TOTAL - "&amp;B161,COMPOSICAO_AUX_2!$A:$J,10,FALSE),VLOOKUP(B161,I!$A:$D,4,FALSE))</f>
        <v>15.83</v>
      </c>
      <c r="J161" s="77">
        <f t="shared" si="10"/>
        <v>3.16</v>
      </c>
      <c r="K161" s="78"/>
    </row>
    <row r="162" spans="1:13" ht="30" customHeight="1" x14ac:dyDescent="0.25">
      <c r="A162" s="16" t="s">
        <v>115</v>
      </c>
      <c r="B162" s="19">
        <v>88267</v>
      </c>
      <c r="C162" s="74" t="str">
        <f>VLOOKUP(B162,IF(A162="COMPOSICAO",S!$A:$D,I!$A:$D),2,FALSE)</f>
        <v>ENCANADOR OU BOMBEIRO HIDRÁULICO COM ENCARGOS COMPLEMENTARES</v>
      </c>
      <c r="D162" s="74"/>
      <c r="E162" s="74"/>
      <c r="F162" s="74"/>
      <c r="G162" s="16" t="str">
        <f>VLOOKUP(B162,IF(A162="COMPOSICAO",S!$A:$D,I!$A:$D),3,FALSE)</f>
        <v>H</v>
      </c>
      <c r="H162" s="17">
        <v>0.2</v>
      </c>
      <c r="I162" s="17">
        <f>IF(A162="COMPOSICAO",VLOOKUP("TOTAL - "&amp;B162,COMPOSICAO_AUX_2!$A:$J,10,FALSE),VLOOKUP(B162,I!$A:$D,4,FALSE))</f>
        <v>20.23</v>
      </c>
      <c r="J162" s="77">
        <f t="shared" si="10"/>
        <v>4.04</v>
      </c>
      <c r="K162" s="78"/>
    </row>
    <row r="163" spans="1:13" ht="15" customHeight="1" x14ac:dyDescent="0.25">
      <c r="A163" s="23" t="s">
        <v>168</v>
      </c>
      <c r="B163" s="24"/>
      <c r="C163" s="24"/>
      <c r="D163" s="24"/>
      <c r="E163" s="24"/>
      <c r="F163" s="24"/>
      <c r="G163" s="25"/>
      <c r="H163" s="26"/>
      <c r="I163" s="27"/>
      <c r="J163" s="77">
        <f>SUM(J156:K162)</f>
        <v>10.16</v>
      </c>
      <c r="K163" s="78"/>
    </row>
    <row r="164" spans="1:13" ht="15" customHeight="1" x14ac:dyDescent="0.25">
      <c r="A164" s="3"/>
      <c r="B164" s="3"/>
      <c r="C164" s="3"/>
      <c r="D164" s="3"/>
      <c r="E164" s="3"/>
      <c r="F164" s="3"/>
      <c r="G164" s="3"/>
      <c r="H164" s="3"/>
      <c r="I164" s="3"/>
      <c r="J164" s="3"/>
      <c r="K164" s="3"/>
    </row>
    <row r="165" spans="1:13" ht="15" customHeight="1" x14ac:dyDescent="0.25">
      <c r="A165" s="10" t="s">
        <v>110</v>
      </c>
      <c r="B165" s="10" t="s">
        <v>31</v>
      </c>
      <c r="C165" s="79" t="s">
        <v>8</v>
      </c>
      <c r="D165" s="80"/>
      <c r="E165" s="80"/>
      <c r="F165" s="80"/>
      <c r="G165" s="6" t="s">
        <v>32</v>
      </c>
      <c r="H165" s="6" t="s">
        <v>111</v>
      </c>
      <c r="I165" s="6" t="s">
        <v>112</v>
      </c>
      <c r="J165" s="51" t="s">
        <v>10</v>
      </c>
      <c r="K165" s="52"/>
    </row>
    <row r="166" spans="1:13" ht="45" customHeight="1" x14ac:dyDescent="0.25">
      <c r="A166" s="6" t="s">
        <v>139</v>
      </c>
      <c r="B166" s="20">
        <v>90443</v>
      </c>
      <c r="C166" s="81" t="str">
        <f>VLOOKUP(B166,S!$A:$D,2,FALSE)</f>
        <v>RASGO EM ALVENARIA PARA RAMAIS/ DISTRIBUIÇÃO COM DIAMETROS MENORES OU IGUAIS A 40 MM. AF_05/2015</v>
      </c>
      <c r="D166" s="81"/>
      <c r="E166" s="81"/>
      <c r="F166" s="82"/>
      <c r="G166" s="6" t="str">
        <f>VLOOKUP(B166,S!$A:$D,3,FALSE)</f>
        <v>M</v>
      </c>
      <c r="H166" s="21"/>
      <c r="I166" s="21">
        <f>J169</f>
        <v>10.18</v>
      </c>
      <c r="J166" s="73"/>
      <c r="K166" s="69"/>
      <c r="L166" s="21">
        <f>VLOOKUP(B166,S!$A:$D,4,FALSE)</f>
        <v>10.18</v>
      </c>
      <c r="M166" s="6" t="str">
        <f>IF(ROUND((L166-I166),2)=0,"OK, confere com a tabela.",IF(ROUND((L166-I166),2)&lt;0,"ACIMA ("&amp;TEXT(ROUND(I166*100/L166,4),"0,0000")&amp;" %) da tabela.","ABAIXO ("&amp;TEXT(ROUND(I166*100/L166,4),"0,0000")&amp;" %) da tabela."))</f>
        <v>OK, confere com a tabela.</v>
      </c>
    </row>
    <row r="167" spans="1:13" ht="30" customHeight="1" x14ac:dyDescent="0.25">
      <c r="A167" s="16" t="s">
        <v>115</v>
      </c>
      <c r="B167" s="19">
        <v>88248</v>
      </c>
      <c r="C167" s="74" t="str">
        <f>VLOOKUP(B167,IF(A167="COMPOSICAO",S!$A:$D,I!$A:$D),2,FALSE)</f>
        <v>AUXILIAR DE ENCANADOR OU BOMBEIRO HIDRÁULICO COM ENCARGOS COMPLEMENTARES</v>
      </c>
      <c r="D167" s="74"/>
      <c r="E167" s="74"/>
      <c r="F167" s="74"/>
      <c r="G167" s="16" t="str">
        <f>VLOOKUP(B167,IF(A167="COMPOSICAO",S!$A:$D,I!$A:$D),3,FALSE)</f>
        <v>H</v>
      </c>
      <c r="H167" s="17">
        <v>7.0000000000000007E-2</v>
      </c>
      <c r="I167" s="17">
        <f>IF(A167="COMPOSICAO",VLOOKUP("TOTAL - "&amp;B167,COMPOSICAO_AUX_2!$A:$J,10,FALSE),VLOOKUP(B167,I!$A:$D,4,FALSE))</f>
        <v>15.83</v>
      </c>
      <c r="J167" s="77">
        <f>TRUNC(H167*I167,2)</f>
        <v>1.1000000000000001</v>
      </c>
      <c r="K167" s="78"/>
    </row>
    <row r="168" spans="1:13" ht="30" customHeight="1" x14ac:dyDescent="0.25">
      <c r="A168" s="16" t="s">
        <v>115</v>
      </c>
      <c r="B168" s="19">
        <v>88267</v>
      </c>
      <c r="C168" s="74" t="str">
        <f>VLOOKUP(B168,IF(A168="COMPOSICAO",S!$A:$D,I!$A:$D),2,FALSE)</f>
        <v>ENCANADOR OU BOMBEIRO HIDRÁULICO COM ENCARGOS COMPLEMENTARES</v>
      </c>
      <c r="D168" s="74"/>
      <c r="E168" s="74"/>
      <c r="F168" s="74"/>
      <c r="G168" s="16" t="str">
        <f>VLOOKUP(B168,IF(A168="COMPOSICAO",S!$A:$D,I!$A:$D),3,FALSE)</f>
        <v>H</v>
      </c>
      <c r="H168" s="28">
        <v>0.44900000000000001</v>
      </c>
      <c r="I168" s="17">
        <f>IF(A168="COMPOSICAO",VLOOKUP("TOTAL - "&amp;B168,COMPOSICAO_AUX_2!$A:$J,10,FALSE),VLOOKUP(B168,I!$A:$D,4,FALSE))</f>
        <v>20.23</v>
      </c>
      <c r="J168" s="77">
        <f>TRUNC(H168*I168,2)</f>
        <v>9.08</v>
      </c>
      <c r="K168" s="78"/>
    </row>
    <row r="169" spans="1:13" ht="15" customHeight="1" x14ac:dyDescent="0.25">
      <c r="A169" s="23" t="s">
        <v>169</v>
      </c>
      <c r="B169" s="24"/>
      <c r="C169" s="24"/>
      <c r="D169" s="24"/>
      <c r="E169" s="24"/>
      <c r="F169" s="24"/>
      <c r="G169" s="25"/>
      <c r="H169" s="26"/>
      <c r="I169" s="27"/>
      <c r="J169" s="77">
        <f>SUM(J166:K168)</f>
        <v>10.18</v>
      </c>
      <c r="K169" s="78"/>
    </row>
    <row r="170" spans="1:13" ht="15" customHeight="1" x14ac:dyDescent="0.25">
      <c r="A170" s="3"/>
      <c r="B170" s="3"/>
      <c r="C170" s="3"/>
      <c r="D170" s="3"/>
      <c r="E170" s="3"/>
      <c r="F170" s="3"/>
      <c r="G170" s="3"/>
      <c r="H170" s="3"/>
      <c r="I170" s="3"/>
      <c r="J170" s="3"/>
      <c r="K170" s="3"/>
    </row>
    <row r="171" spans="1:13" ht="15" customHeight="1" x14ac:dyDescent="0.25">
      <c r="A171" s="10" t="s">
        <v>110</v>
      </c>
      <c r="B171" s="10" t="s">
        <v>31</v>
      </c>
      <c r="C171" s="79" t="s">
        <v>8</v>
      </c>
      <c r="D171" s="80"/>
      <c r="E171" s="80"/>
      <c r="F171" s="80"/>
      <c r="G171" s="6" t="s">
        <v>32</v>
      </c>
      <c r="H171" s="6" t="s">
        <v>111</v>
      </c>
      <c r="I171" s="6" t="s">
        <v>112</v>
      </c>
      <c r="J171" s="51" t="s">
        <v>10</v>
      </c>
      <c r="K171" s="52"/>
    </row>
    <row r="172" spans="1:13" ht="45" customHeight="1" x14ac:dyDescent="0.25">
      <c r="A172" s="6" t="s">
        <v>139</v>
      </c>
      <c r="B172" s="20">
        <v>90466</v>
      </c>
      <c r="C172" s="81" t="str">
        <f>VLOOKUP(B172,S!$A:$D,2,FALSE)</f>
        <v>CHUMBAMENTO LINEAR EM ALVENARIA PARA RAMAIS/DISTRIBUIÇÃO COM DIÂMETROS MENORES OU IGUAIS A 40 MM. AF_05/2015</v>
      </c>
      <c r="D172" s="81"/>
      <c r="E172" s="81"/>
      <c r="F172" s="82"/>
      <c r="G172" s="6" t="str">
        <f>VLOOKUP(B172,S!$A:$D,3,FALSE)</f>
        <v>M</v>
      </c>
      <c r="H172" s="21"/>
      <c r="I172" s="21">
        <f>J176</f>
        <v>10.45</v>
      </c>
      <c r="J172" s="73"/>
      <c r="K172" s="69"/>
      <c r="L172" s="21">
        <f>VLOOKUP(B172,S!$A:$D,4,FALSE)</f>
        <v>10.45</v>
      </c>
      <c r="M172" s="6" t="str">
        <f>IF(ROUND((L172-I172),2)=0,"OK, confere com a tabela.",IF(ROUND((L172-I172),2)&lt;0,"ACIMA ("&amp;TEXT(ROUND(I172*100/L172,4),"0,0000")&amp;" %) da tabela.","ABAIXO ("&amp;TEXT(ROUND(I172*100/L172,4),"0,0000")&amp;" %) da tabela."))</f>
        <v>OK, confere com a tabela.</v>
      </c>
    </row>
    <row r="173" spans="1:13" ht="30" customHeight="1" x14ac:dyDescent="0.25">
      <c r="A173" s="16" t="s">
        <v>115</v>
      </c>
      <c r="B173" s="19">
        <v>88248</v>
      </c>
      <c r="C173" s="74" t="str">
        <f>VLOOKUP(B173,IF(A173="COMPOSICAO",S!$A:$D,I!$A:$D),2,FALSE)</f>
        <v>AUXILIAR DE ENCANADOR OU BOMBEIRO HIDRÁULICO COM ENCARGOS COMPLEMENTARES</v>
      </c>
      <c r="D173" s="74"/>
      <c r="E173" s="74"/>
      <c r="F173" s="74"/>
      <c r="G173" s="16" t="str">
        <f>VLOOKUP(B173,IF(A173="COMPOSICAO",S!$A:$D,I!$A:$D),3,FALSE)</f>
        <v>H</v>
      </c>
      <c r="H173" s="28">
        <v>5.5E-2</v>
      </c>
      <c r="I173" s="17">
        <f>IF(A173="COMPOSICAO",VLOOKUP("TOTAL - "&amp;B173,COMPOSICAO_AUX_2!$A:$J,10,FALSE),VLOOKUP(B173,I!$A:$D,4,FALSE))</f>
        <v>15.83</v>
      </c>
      <c r="J173" s="77">
        <f>TRUNC(H173*I173,2)</f>
        <v>0.87</v>
      </c>
      <c r="K173" s="78"/>
    </row>
    <row r="174" spans="1:13" ht="30" customHeight="1" x14ac:dyDescent="0.25">
      <c r="A174" s="16" t="s">
        <v>115</v>
      </c>
      <c r="B174" s="19">
        <v>88267</v>
      </c>
      <c r="C174" s="74" t="str">
        <f>VLOOKUP(B174,IF(A174="COMPOSICAO",S!$A:$D,I!$A:$D),2,FALSE)</f>
        <v>ENCANADOR OU BOMBEIRO HIDRÁULICO COM ENCARGOS COMPLEMENTARES</v>
      </c>
      <c r="D174" s="74"/>
      <c r="E174" s="74"/>
      <c r="F174" s="74"/>
      <c r="G174" s="16" t="str">
        <f>VLOOKUP(B174,IF(A174="COMPOSICAO",S!$A:$D,I!$A:$D),3,FALSE)</f>
        <v>H</v>
      </c>
      <c r="H174" s="28">
        <v>0.39100000000000001</v>
      </c>
      <c r="I174" s="17">
        <f>IF(A174="COMPOSICAO",VLOOKUP("TOTAL - "&amp;B174,COMPOSICAO_AUX_2!$A:$J,10,FALSE),VLOOKUP(B174,I!$A:$D,4,FALSE))</f>
        <v>20.23</v>
      </c>
      <c r="J174" s="77">
        <f>TRUNC(H174*I174,2)</f>
        <v>7.9</v>
      </c>
      <c r="K174" s="78"/>
    </row>
    <row r="175" spans="1:13" ht="45" customHeight="1" x14ac:dyDescent="0.25">
      <c r="A175" s="16" t="s">
        <v>115</v>
      </c>
      <c r="B175" s="19">
        <v>88629</v>
      </c>
      <c r="C175" s="74" t="str">
        <f>VLOOKUP(B175,IF(A175="COMPOSICAO",S!$A:$D,I!$A:$D),2,FALSE)</f>
        <v>ARGAMASSA TRAÇO 1:3 (EM VOLUME DE CIMENTO E AREIA MÉDIA ÚMIDA), PREPARO MANUAL. AF_08/2019</v>
      </c>
      <c r="D175" s="74"/>
      <c r="E175" s="74"/>
      <c r="F175" s="74"/>
      <c r="G175" s="16" t="str">
        <f>VLOOKUP(B175,IF(A175="COMPOSICAO",S!$A:$D,I!$A:$D),3,FALSE)</f>
        <v>M3</v>
      </c>
      <c r="H175" s="28">
        <v>3.0000000000000001E-3</v>
      </c>
      <c r="I175" s="17">
        <f>IF(A175="COMPOSICAO",VLOOKUP("TOTAL - "&amp;B175,COMPOSICAO_AUX_2!$A:$J,10,FALSE),VLOOKUP(B175,I!$A:$D,4,FALSE))</f>
        <v>562.56999999999994</v>
      </c>
      <c r="J175" s="77">
        <f>TRUNC(H175*I175,2)</f>
        <v>1.68</v>
      </c>
      <c r="K175" s="78"/>
    </row>
    <row r="176" spans="1:13" ht="15" customHeight="1" x14ac:dyDescent="0.25">
      <c r="A176" s="23" t="s">
        <v>170</v>
      </c>
      <c r="B176" s="24"/>
      <c r="C176" s="24"/>
      <c r="D176" s="24"/>
      <c r="E176" s="24"/>
      <c r="F176" s="24"/>
      <c r="G176" s="25"/>
      <c r="H176" s="26"/>
      <c r="I176" s="27"/>
      <c r="J176" s="77">
        <f>SUM(J172:K175)</f>
        <v>10.45</v>
      </c>
      <c r="K176" s="78"/>
    </row>
    <row r="177" spans="1:11" ht="15" customHeight="1" x14ac:dyDescent="0.25">
      <c r="A177" s="3"/>
      <c r="B177" s="3"/>
      <c r="C177" s="3"/>
      <c r="D177" s="3"/>
      <c r="E177" s="3"/>
      <c r="F177" s="3"/>
      <c r="G177" s="3"/>
      <c r="H177" s="3"/>
      <c r="I177" s="3"/>
      <c r="J177" s="3"/>
      <c r="K177" s="3"/>
    </row>
  </sheetData>
  <sheetProtection formatCells="0" formatColumns="0" formatRows="0" insertColumns="0" insertRows="0" insertHyperlinks="0" deleteColumns="0" deleteRows="0" sort="0" autoFilter="0" pivotTables="0"/>
  <mergeCells count="293">
    <mergeCell ref="C8:F8"/>
    <mergeCell ref="J8:K8"/>
    <mergeCell ref="J9:K9"/>
    <mergeCell ref="C11:F11"/>
    <mergeCell ref="J11:K11"/>
    <mergeCell ref="C12:F12"/>
    <mergeCell ref="J12:K12"/>
    <mergeCell ref="A1:K1"/>
    <mergeCell ref="A2:K2"/>
    <mergeCell ref="A3:K3"/>
    <mergeCell ref="C6:F6"/>
    <mergeCell ref="J6:K6"/>
    <mergeCell ref="C7:F7"/>
    <mergeCell ref="J7:K7"/>
    <mergeCell ref="C18:F18"/>
    <mergeCell ref="J18:K18"/>
    <mergeCell ref="C19:F19"/>
    <mergeCell ref="J19:K19"/>
    <mergeCell ref="C20:F20"/>
    <mergeCell ref="J20:K20"/>
    <mergeCell ref="C13:F13"/>
    <mergeCell ref="J13:K13"/>
    <mergeCell ref="J14:K14"/>
    <mergeCell ref="C16:F16"/>
    <mergeCell ref="J16:K16"/>
    <mergeCell ref="C17:F17"/>
    <mergeCell ref="J17:K17"/>
    <mergeCell ref="C24:F24"/>
    <mergeCell ref="J24:K24"/>
    <mergeCell ref="J25:K25"/>
    <mergeCell ref="C27:F27"/>
    <mergeCell ref="J27:K27"/>
    <mergeCell ref="C28:F28"/>
    <mergeCell ref="J28:K28"/>
    <mergeCell ref="C21:F21"/>
    <mergeCell ref="J21:K21"/>
    <mergeCell ref="C22:F22"/>
    <mergeCell ref="J22:K22"/>
    <mergeCell ref="C23:F23"/>
    <mergeCell ref="J23:K23"/>
    <mergeCell ref="C32:F32"/>
    <mergeCell ref="J32:K32"/>
    <mergeCell ref="C33:F33"/>
    <mergeCell ref="J33:K33"/>
    <mergeCell ref="C34:F34"/>
    <mergeCell ref="J34:K34"/>
    <mergeCell ref="C29:F29"/>
    <mergeCell ref="J29:K29"/>
    <mergeCell ref="C30:F30"/>
    <mergeCell ref="J30:K30"/>
    <mergeCell ref="C31:F31"/>
    <mergeCell ref="J31:K31"/>
    <mergeCell ref="C40:F40"/>
    <mergeCell ref="J40:K40"/>
    <mergeCell ref="C41:F41"/>
    <mergeCell ref="J41:K41"/>
    <mergeCell ref="C42:F42"/>
    <mergeCell ref="J42:K42"/>
    <mergeCell ref="C35:F35"/>
    <mergeCell ref="J35:K35"/>
    <mergeCell ref="C36:F36"/>
    <mergeCell ref="J36:K36"/>
    <mergeCell ref="J37:K37"/>
    <mergeCell ref="C39:F39"/>
    <mergeCell ref="J39:K39"/>
    <mergeCell ref="C46:F46"/>
    <mergeCell ref="J46:K46"/>
    <mergeCell ref="C47:F47"/>
    <mergeCell ref="J47:K47"/>
    <mergeCell ref="C48:F48"/>
    <mergeCell ref="J48:K48"/>
    <mergeCell ref="C43:F43"/>
    <mergeCell ref="J43:K43"/>
    <mergeCell ref="C44:F44"/>
    <mergeCell ref="J44:K44"/>
    <mergeCell ref="C45:F45"/>
    <mergeCell ref="J45:K45"/>
    <mergeCell ref="C54:F54"/>
    <mergeCell ref="J54:K54"/>
    <mergeCell ref="C55:F55"/>
    <mergeCell ref="J55:K55"/>
    <mergeCell ref="C56:F56"/>
    <mergeCell ref="J56:K56"/>
    <mergeCell ref="J49:K49"/>
    <mergeCell ref="C51:F51"/>
    <mergeCell ref="J51:K51"/>
    <mergeCell ref="C52:F52"/>
    <mergeCell ref="J52:K52"/>
    <mergeCell ref="C53:F53"/>
    <mergeCell ref="J53:K53"/>
    <mergeCell ref="C60:F60"/>
    <mergeCell ref="J60:K60"/>
    <mergeCell ref="J61:K61"/>
    <mergeCell ref="C63:F63"/>
    <mergeCell ref="J63:K63"/>
    <mergeCell ref="C64:F64"/>
    <mergeCell ref="J64:K64"/>
    <mergeCell ref="C57:F57"/>
    <mergeCell ref="J57:K57"/>
    <mergeCell ref="C58:F58"/>
    <mergeCell ref="J58:K58"/>
    <mergeCell ref="C59:F59"/>
    <mergeCell ref="J59:K59"/>
    <mergeCell ref="C68:F68"/>
    <mergeCell ref="J68:K68"/>
    <mergeCell ref="C69:F69"/>
    <mergeCell ref="J69:K69"/>
    <mergeCell ref="C70:F70"/>
    <mergeCell ref="J70:K70"/>
    <mergeCell ref="C65:F65"/>
    <mergeCell ref="J65:K65"/>
    <mergeCell ref="C66:F66"/>
    <mergeCell ref="J66:K66"/>
    <mergeCell ref="C67:F67"/>
    <mergeCell ref="J67:K67"/>
    <mergeCell ref="C76:F76"/>
    <mergeCell ref="J76:K76"/>
    <mergeCell ref="C77:F77"/>
    <mergeCell ref="J77:K77"/>
    <mergeCell ref="C78:F78"/>
    <mergeCell ref="J78:K78"/>
    <mergeCell ref="C71:F71"/>
    <mergeCell ref="J71:K71"/>
    <mergeCell ref="C72:F72"/>
    <mergeCell ref="J72:K72"/>
    <mergeCell ref="J73:K73"/>
    <mergeCell ref="C75:F75"/>
    <mergeCell ref="J75:K75"/>
    <mergeCell ref="C82:F82"/>
    <mergeCell ref="J82:K82"/>
    <mergeCell ref="C83:F83"/>
    <mergeCell ref="J83:K83"/>
    <mergeCell ref="C84:F84"/>
    <mergeCell ref="J84:K84"/>
    <mergeCell ref="C79:F79"/>
    <mergeCell ref="J79:K79"/>
    <mergeCell ref="C80:F80"/>
    <mergeCell ref="J80:K80"/>
    <mergeCell ref="C81:F81"/>
    <mergeCell ref="J81:K81"/>
    <mergeCell ref="C90:F90"/>
    <mergeCell ref="J90:K90"/>
    <mergeCell ref="C91:F91"/>
    <mergeCell ref="J91:K91"/>
    <mergeCell ref="C92:F92"/>
    <mergeCell ref="J92:K92"/>
    <mergeCell ref="J85:K85"/>
    <mergeCell ref="C87:F87"/>
    <mergeCell ref="J87:K87"/>
    <mergeCell ref="C88:F88"/>
    <mergeCell ref="J88:K88"/>
    <mergeCell ref="C89:F89"/>
    <mergeCell ref="J89:K89"/>
    <mergeCell ref="C98:F98"/>
    <mergeCell ref="J98:K98"/>
    <mergeCell ref="C99:F99"/>
    <mergeCell ref="J99:K99"/>
    <mergeCell ref="C100:F100"/>
    <mergeCell ref="J100:K100"/>
    <mergeCell ref="C93:F93"/>
    <mergeCell ref="J93:K93"/>
    <mergeCell ref="J94:K94"/>
    <mergeCell ref="C96:F96"/>
    <mergeCell ref="J96:K96"/>
    <mergeCell ref="C97:F97"/>
    <mergeCell ref="J97:K97"/>
    <mergeCell ref="C106:F106"/>
    <mergeCell ref="J106:K106"/>
    <mergeCell ref="C107:F107"/>
    <mergeCell ref="J107:K107"/>
    <mergeCell ref="C108:F108"/>
    <mergeCell ref="J108:K108"/>
    <mergeCell ref="J101:K101"/>
    <mergeCell ref="C103:F103"/>
    <mergeCell ref="J103:K103"/>
    <mergeCell ref="C104:F104"/>
    <mergeCell ref="J104:K104"/>
    <mergeCell ref="C105:F105"/>
    <mergeCell ref="J105:K105"/>
    <mergeCell ref="C112:F112"/>
    <mergeCell ref="J112:K112"/>
    <mergeCell ref="J113:K113"/>
    <mergeCell ref="C115:F115"/>
    <mergeCell ref="J115:K115"/>
    <mergeCell ref="C116:F116"/>
    <mergeCell ref="J116:K116"/>
    <mergeCell ref="C109:F109"/>
    <mergeCell ref="J109:K109"/>
    <mergeCell ref="C110:F110"/>
    <mergeCell ref="J110:K110"/>
    <mergeCell ref="C111:F111"/>
    <mergeCell ref="J111:K111"/>
    <mergeCell ref="C120:F120"/>
    <mergeCell ref="J120:K120"/>
    <mergeCell ref="C121:F121"/>
    <mergeCell ref="J121:K121"/>
    <mergeCell ref="C122:F122"/>
    <mergeCell ref="J122:K122"/>
    <mergeCell ref="C117:F117"/>
    <mergeCell ref="J117:K117"/>
    <mergeCell ref="C118:F118"/>
    <mergeCell ref="J118:K118"/>
    <mergeCell ref="C119:F119"/>
    <mergeCell ref="J119:K119"/>
    <mergeCell ref="C128:F128"/>
    <mergeCell ref="J128:K128"/>
    <mergeCell ref="C129:F129"/>
    <mergeCell ref="J129:K129"/>
    <mergeCell ref="C130:F130"/>
    <mergeCell ref="J130:K130"/>
    <mergeCell ref="C123:F123"/>
    <mergeCell ref="J123:K123"/>
    <mergeCell ref="C124:F124"/>
    <mergeCell ref="J124:K124"/>
    <mergeCell ref="J125:K125"/>
    <mergeCell ref="C127:F127"/>
    <mergeCell ref="J127:K127"/>
    <mergeCell ref="C136:F136"/>
    <mergeCell ref="J136:K136"/>
    <mergeCell ref="C137:F137"/>
    <mergeCell ref="J137:K137"/>
    <mergeCell ref="C138:F138"/>
    <mergeCell ref="J138:K138"/>
    <mergeCell ref="C131:F131"/>
    <mergeCell ref="J131:K131"/>
    <mergeCell ref="C132:F132"/>
    <mergeCell ref="J132:K132"/>
    <mergeCell ref="J133:K133"/>
    <mergeCell ref="C135:F135"/>
    <mergeCell ref="J135:K135"/>
    <mergeCell ref="C142:F142"/>
    <mergeCell ref="J142:K142"/>
    <mergeCell ref="J143:K143"/>
    <mergeCell ref="C145:F145"/>
    <mergeCell ref="J145:K145"/>
    <mergeCell ref="C146:F146"/>
    <mergeCell ref="J146:K146"/>
    <mergeCell ref="C139:F139"/>
    <mergeCell ref="J139:K139"/>
    <mergeCell ref="C140:F140"/>
    <mergeCell ref="J140:K140"/>
    <mergeCell ref="C141:F141"/>
    <mergeCell ref="J141:K141"/>
    <mergeCell ref="C150:F150"/>
    <mergeCell ref="J150:K150"/>
    <mergeCell ref="C151:F151"/>
    <mergeCell ref="J151:K151"/>
    <mergeCell ref="C152:F152"/>
    <mergeCell ref="J152:K152"/>
    <mergeCell ref="C147:F147"/>
    <mergeCell ref="J147:K147"/>
    <mergeCell ref="C148:F148"/>
    <mergeCell ref="J148:K148"/>
    <mergeCell ref="C149:F149"/>
    <mergeCell ref="J149:K149"/>
    <mergeCell ref="C158:F158"/>
    <mergeCell ref="J158:K158"/>
    <mergeCell ref="C159:F159"/>
    <mergeCell ref="J159:K159"/>
    <mergeCell ref="C160:F160"/>
    <mergeCell ref="J160:K160"/>
    <mergeCell ref="J153:K153"/>
    <mergeCell ref="C155:F155"/>
    <mergeCell ref="J155:K155"/>
    <mergeCell ref="C156:F156"/>
    <mergeCell ref="J156:K156"/>
    <mergeCell ref="C157:F157"/>
    <mergeCell ref="J157:K157"/>
    <mergeCell ref="C166:F166"/>
    <mergeCell ref="J166:K166"/>
    <mergeCell ref="C167:F167"/>
    <mergeCell ref="J167:K167"/>
    <mergeCell ref="C168:F168"/>
    <mergeCell ref="J168:K168"/>
    <mergeCell ref="C161:F161"/>
    <mergeCell ref="J161:K161"/>
    <mergeCell ref="C162:F162"/>
    <mergeCell ref="J162:K162"/>
    <mergeCell ref="J163:K163"/>
    <mergeCell ref="C165:F165"/>
    <mergeCell ref="J165:K165"/>
    <mergeCell ref="C174:F174"/>
    <mergeCell ref="J174:K174"/>
    <mergeCell ref="C175:F175"/>
    <mergeCell ref="J175:K175"/>
    <mergeCell ref="J176:K176"/>
    <mergeCell ref="J169:K169"/>
    <mergeCell ref="C171:F171"/>
    <mergeCell ref="J171:K171"/>
    <mergeCell ref="C172:F172"/>
    <mergeCell ref="J172:K172"/>
    <mergeCell ref="C173:F173"/>
    <mergeCell ref="J173:K173"/>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election activeCell="I9" sqref="I9"/>
    </sheetView>
  </sheetViews>
  <sheetFormatPr defaultRowHeight="15" customHeight="1" x14ac:dyDescent="0.25"/>
  <cols>
    <col min="1" max="1" width="14.7109375" style="1" customWidth="1"/>
    <col min="2" max="2" width="12.7109375" style="1" customWidth="1"/>
    <col min="3" max="3" width="4.7109375" style="1" customWidth="1"/>
    <col min="4" max="4" width="8.7109375" style="1" customWidth="1"/>
    <col min="5" max="5" width="25.7109375" style="1" customWidth="1"/>
    <col min="6" max="6" width="12.7109375" style="1" customWidth="1"/>
    <col min="7" max="7" width="8.7109375" style="1" customWidth="1"/>
    <col min="8" max="9" width="16.7109375" style="1" customWidth="1"/>
    <col min="10" max="11" width="8.7109375" style="1" customWidth="1"/>
    <col min="12" max="12" width="16.7109375" style="1" customWidth="1"/>
    <col min="13" max="13" width="27.5703125" style="1" customWidth="1"/>
    <col min="14" max="16384" width="9.140625" style="1"/>
  </cols>
  <sheetData>
    <row r="1" spans="1:13" ht="15" customHeight="1" x14ac:dyDescent="0.25">
      <c r="A1" s="49" t="str">
        <f>CIDADE</f>
        <v>MUNICÍPIO DE SAO RAIMUNDO NONATO - PI</v>
      </c>
      <c r="B1" s="49"/>
      <c r="C1" s="49"/>
      <c r="D1" s="49"/>
      <c r="E1" s="49"/>
      <c r="F1" s="49"/>
      <c r="G1" s="49"/>
      <c r="H1" s="49"/>
      <c r="I1" s="49"/>
      <c r="J1" s="49"/>
      <c r="K1" s="49"/>
    </row>
    <row r="2" spans="1:13" ht="15" customHeight="1" x14ac:dyDescent="0.25">
      <c r="A2" s="49" t="str">
        <f>OBRA</f>
        <v>ESPAÇO DA CIDADANIA</v>
      </c>
      <c r="B2" s="49"/>
      <c r="C2" s="49"/>
      <c r="D2" s="49"/>
      <c r="E2" s="49"/>
      <c r="F2" s="49"/>
      <c r="G2" s="49"/>
      <c r="H2" s="49"/>
      <c r="I2" s="49"/>
      <c r="J2" s="49"/>
      <c r="K2" s="49"/>
    </row>
    <row r="3" spans="1:13" ht="15" customHeight="1" x14ac:dyDescent="0.25">
      <c r="A3" s="49" t="s">
        <v>171</v>
      </c>
      <c r="B3" s="49"/>
      <c r="C3" s="49"/>
      <c r="D3" s="49"/>
      <c r="E3" s="49"/>
      <c r="F3" s="49"/>
      <c r="G3" s="49"/>
      <c r="H3" s="49"/>
      <c r="I3" s="49"/>
      <c r="J3" s="49"/>
      <c r="K3" s="49"/>
    </row>
    <row r="4" spans="1:13" ht="15" customHeight="1" x14ac:dyDescent="0.25">
      <c r="A4" s="3"/>
      <c r="B4" s="3"/>
      <c r="C4" s="3"/>
      <c r="D4" s="3"/>
      <c r="E4" s="3"/>
      <c r="F4" s="3"/>
      <c r="G4" s="3"/>
      <c r="H4" s="3"/>
      <c r="I4" s="3"/>
      <c r="J4" s="3"/>
      <c r="K4" s="3"/>
    </row>
    <row r="5" spans="1:13" ht="15" customHeight="1" x14ac:dyDescent="0.25">
      <c r="A5" s="2" t="s">
        <v>3</v>
      </c>
      <c r="B5" s="4" t="str">
        <f>FONTE&amp;ONERA</f>
        <v>SINAPI PI-12/2021, SEINFRA 27, ORSE-11/2021, SEM DESONERAÇÃO</v>
      </c>
      <c r="C5" s="2"/>
      <c r="D5" s="2"/>
      <c r="E5" s="2"/>
      <c r="G5" s="3"/>
      <c r="H5" s="2" t="s">
        <v>6</v>
      </c>
      <c r="I5" s="5">
        <f>LEI</f>
        <v>111.86</v>
      </c>
      <c r="J5" s="2" t="s">
        <v>7</v>
      </c>
      <c r="K5" s="5">
        <f>BDI</f>
        <v>20.34</v>
      </c>
    </row>
    <row r="6" spans="1:13" ht="15" customHeight="1" x14ac:dyDescent="0.25">
      <c r="A6" s="10" t="s">
        <v>110</v>
      </c>
      <c r="B6" s="10" t="s">
        <v>31</v>
      </c>
      <c r="C6" s="79" t="s">
        <v>8</v>
      </c>
      <c r="D6" s="80"/>
      <c r="E6" s="80"/>
      <c r="F6" s="80"/>
      <c r="G6" s="6" t="s">
        <v>32</v>
      </c>
      <c r="H6" s="6" t="s">
        <v>111</v>
      </c>
      <c r="I6" s="6" t="s">
        <v>112</v>
      </c>
      <c r="J6" s="51" t="s">
        <v>10</v>
      </c>
      <c r="K6" s="52"/>
    </row>
    <row r="7" spans="1:13" ht="15" customHeight="1" x14ac:dyDescent="0.25">
      <c r="A7" s="6" t="s">
        <v>113</v>
      </c>
      <c r="B7" s="20">
        <v>88316</v>
      </c>
      <c r="C7" s="81" t="str">
        <f>VLOOKUP(B7,S!$A:$D,2,FALSE)</f>
        <v>SERVENTE COM ENCARGOS COMPLEMENTARES</v>
      </c>
      <c r="D7" s="81"/>
      <c r="E7" s="81"/>
      <c r="F7" s="82"/>
      <c r="G7" s="6" t="str">
        <f>VLOOKUP(B7,S!$A:$D,3,FALSE)</f>
        <v>H</v>
      </c>
      <c r="H7" s="21"/>
      <c r="I7" s="21">
        <f>J16</f>
        <v>16.329999999999998</v>
      </c>
      <c r="J7" s="73"/>
      <c r="K7" s="69"/>
      <c r="L7" s="21">
        <f>VLOOKUP(B7,S!$A:$D,4,FALSE)</f>
        <v>16.329999999999998</v>
      </c>
      <c r="M7" s="6" t="str">
        <f>IF(ROUND((L7-I7),2)=0,"OK, confere com a tabela.",IF(ROUND((L7-I7),2)&lt;0,"ACIMA ("&amp;TEXT(ROUND(I7*100/L7,4),"0,0000")&amp;" %) da tabela.","ABAIXO ("&amp;TEXT(ROUND(I7*100/L7,4),"0,0000")&amp;" %) da tabela."))</f>
        <v>OK, confere com a tabela.</v>
      </c>
    </row>
    <row r="8" spans="1:13" ht="15" customHeight="1" x14ac:dyDescent="0.25">
      <c r="A8" s="16" t="s">
        <v>114</v>
      </c>
      <c r="B8" s="19">
        <v>6111</v>
      </c>
      <c r="C8" s="74" t="str">
        <f>VLOOKUP(B8,IF(A8="COMPOSICAO",S!$A:$D,I!$A:$D),2,FALSE)</f>
        <v>SERVENTE DE OBRAS</v>
      </c>
      <c r="D8" s="74"/>
      <c r="E8" s="74"/>
      <c r="F8" s="74"/>
      <c r="G8" s="16" t="str">
        <f>VLOOKUP(B8,IF(A8="COMPOSICAO",S!$A:$D,I!$A:$D),3,FALSE)</f>
        <v>H</v>
      </c>
      <c r="H8" s="17">
        <v>1</v>
      </c>
      <c r="I8" s="17">
        <f>IF(A8="COMPOSICAO",VLOOKUP("TOTAL - "&amp;B8,COMPOSICAO_AUX_3!$A:$J,10,FALSE),VLOOKUP(B8,I!$A:$D,4,FALSE))</f>
        <v>10.59</v>
      </c>
      <c r="J8" s="77">
        <f t="shared" ref="J8:J15" si="0">TRUNC(H8*I8,2)</f>
        <v>10.59</v>
      </c>
      <c r="K8" s="78"/>
    </row>
    <row r="9" spans="1:13" ht="15" customHeight="1" x14ac:dyDescent="0.25">
      <c r="A9" s="16" t="s">
        <v>114</v>
      </c>
      <c r="B9" s="19">
        <v>37370</v>
      </c>
      <c r="C9" s="74" t="str">
        <f>VLOOKUP(B9,IF(A9="COMPOSICAO",S!$A:$D,I!$A:$D),2,FALSE)</f>
        <v>ALIMENTACAO - HORISTA (COLETADO CAIXA)</v>
      </c>
      <c r="D9" s="74"/>
      <c r="E9" s="74"/>
      <c r="F9" s="74"/>
      <c r="G9" s="16" t="str">
        <f>VLOOKUP(B9,IF(A9="COMPOSICAO",S!$A:$D,I!$A:$D),3,FALSE)</f>
        <v>H</v>
      </c>
      <c r="H9" s="17">
        <v>1</v>
      </c>
      <c r="I9" s="17">
        <f>IF(A9="COMPOSICAO",VLOOKUP("TOTAL - "&amp;B9,COMPOSICAO_AUX_3!$A:$J,10,FALSE),VLOOKUP(B9,I!$A:$D,4,FALSE))</f>
        <v>2.29</v>
      </c>
      <c r="J9" s="77">
        <f t="shared" si="0"/>
        <v>2.29</v>
      </c>
      <c r="K9" s="78"/>
    </row>
    <row r="10" spans="1:13" ht="15" customHeight="1" x14ac:dyDescent="0.25">
      <c r="A10" s="16" t="s">
        <v>114</v>
      </c>
      <c r="B10" s="19">
        <v>37371</v>
      </c>
      <c r="C10" s="74" t="str">
        <f>VLOOKUP(B10,IF(A10="COMPOSICAO",S!$A:$D,I!$A:$D),2,FALSE)</f>
        <v>TRANSPORTE - HORISTA (COLETADO CAIXA)</v>
      </c>
      <c r="D10" s="74"/>
      <c r="E10" s="74"/>
      <c r="F10" s="74"/>
      <c r="G10" s="16" t="str">
        <f>VLOOKUP(B10,IF(A10="COMPOSICAO",S!$A:$D,I!$A:$D),3,FALSE)</f>
        <v>H</v>
      </c>
      <c r="H10" s="17">
        <v>1</v>
      </c>
      <c r="I10" s="17">
        <f>IF(A10="COMPOSICAO",VLOOKUP("TOTAL - "&amp;B10,COMPOSICAO_AUX_3!$A:$J,10,FALSE),VLOOKUP(B10,I!$A:$D,4,FALSE))</f>
        <v>0.69</v>
      </c>
      <c r="J10" s="77">
        <f t="shared" si="0"/>
        <v>0.69</v>
      </c>
      <c r="K10" s="78"/>
    </row>
    <row r="11" spans="1:13" ht="15" customHeight="1" x14ac:dyDescent="0.25">
      <c r="A11" s="16" t="s">
        <v>114</v>
      </c>
      <c r="B11" s="19">
        <v>37372</v>
      </c>
      <c r="C11" s="74" t="str">
        <f>VLOOKUP(B11,IF(A11="COMPOSICAO",S!$A:$D,I!$A:$D),2,FALSE)</f>
        <v>EXAMES - HORISTA (COLETADO CAIXA)</v>
      </c>
      <c r="D11" s="74"/>
      <c r="E11" s="74"/>
      <c r="F11" s="74"/>
      <c r="G11" s="16" t="str">
        <f>VLOOKUP(B11,IF(A11="COMPOSICAO",S!$A:$D,I!$A:$D),3,FALSE)</f>
        <v>H</v>
      </c>
      <c r="H11" s="17">
        <v>1</v>
      </c>
      <c r="I11" s="17">
        <f>IF(A11="COMPOSICAO",VLOOKUP("TOTAL - "&amp;B11,COMPOSICAO_AUX_3!$A:$J,10,FALSE),VLOOKUP(B11,I!$A:$D,4,FALSE))</f>
        <v>0.81</v>
      </c>
      <c r="J11" s="77">
        <f t="shared" si="0"/>
        <v>0.81</v>
      </c>
      <c r="K11" s="78"/>
    </row>
    <row r="12" spans="1:13" ht="15" customHeight="1" x14ac:dyDescent="0.25">
      <c r="A12" s="16" t="s">
        <v>114</v>
      </c>
      <c r="B12" s="19">
        <v>37373</v>
      </c>
      <c r="C12" s="74" t="str">
        <f>VLOOKUP(B12,IF(A12="COMPOSICAO",S!$A:$D,I!$A:$D),2,FALSE)</f>
        <v>SEGURO - HORISTA (COLETADO CAIXA)</v>
      </c>
      <c r="D12" s="74"/>
      <c r="E12" s="74"/>
      <c r="F12" s="74"/>
      <c r="G12" s="16" t="str">
        <f>VLOOKUP(B12,IF(A12="COMPOSICAO",S!$A:$D,I!$A:$D),3,FALSE)</f>
        <v>H</v>
      </c>
      <c r="H12" s="17">
        <v>1</v>
      </c>
      <c r="I12" s="17">
        <f>IF(A12="COMPOSICAO",VLOOKUP("TOTAL - "&amp;B12,COMPOSICAO_AUX_3!$A:$J,10,FALSE),VLOOKUP(B12,I!$A:$D,4,FALSE))</f>
        <v>0.06</v>
      </c>
      <c r="J12" s="77">
        <f t="shared" si="0"/>
        <v>0.06</v>
      </c>
      <c r="K12" s="78"/>
    </row>
    <row r="13" spans="1:13" ht="30" customHeight="1" x14ac:dyDescent="0.25">
      <c r="A13" s="16" t="s">
        <v>114</v>
      </c>
      <c r="B13" s="19">
        <v>43467</v>
      </c>
      <c r="C13" s="74" t="str">
        <f>VLOOKUP(B13,IF(A13="COMPOSICAO",S!$A:$D,I!$A:$D),2,FALSE)</f>
        <v>FERRAMENTAS - FAMILIA SERVENTE - HORISTA (ENCARGOS COMPLEMENTARES - COLETADO CAIXA)</v>
      </c>
      <c r="D13" s="74"/>
      <c r="E13" s="74"/>
      <c r="F13" s="74"/>
      <c r="G13" s="16" t="str">
        <f>VLOOKUP(B13,IF(A13="COMPOSICAO",S!$A:$D,I!$A:$D),3,FALSE)</f>
        <v>H</v>
      </c>
      <c r="H13" s="17">
        <v>1</v>
      </c>
      <c r="I13" s="17">
        <f>IF(A13="COMPOSICAO",VLOOKUP("TOTAL - "&amp;B13,COMPOSICAO_AUX_3!$A:$J,10,FALSE),VLOOKUP(B13,I!$A:$D,4,FALSE))</f>
        <v>0.56000000000000005</v>
      </c>
      <c r="J13" s="77">
        <f t="shared" si="0"/>
        <v>0.56000000000000005</v>
      </c>
      <c r="K13" s="78"/>
    </row>
    <row r="14" spans="1:13" ht="30" customHeight="1" x14ac:dyDescent="0.25">
      <c r="A14" s="16" t="s">
        <v>114</v>
      </c>
      <c r="B14" s="19">
        <v>43491</v>
      </c>
      <c r="C14" s="74" t="str">
        <f>VLOOKUP(B14,IF(A14="COMPOSICAO",S!$A:$D,I!$A:$D),2,FALSE)</f>
        <v>EPI - FAMILIA SERVENTE - HORISTA (ENCARGOS COMPLEMENTARES - COLETADO CAIXA)</v>
      </c>
      <c r="D14" s="74"/>
      <c r="E14" s="74"/>
      <c r="F14" s="74"/>
      <c r="G14" s="16" t="str">
        <f>VLOOKUP(B14,IF(A14="COMPOSICAO",S!$A:$D,I!$A:$D),3,FALSE)</f>
        <v>H</v>
      </c>
      <c r="H14" s="17">
        <v>1</v>
      </c>
      <c r="I14" s="17">
        <f>IF(A14="COMPOSICAO",VLOOKUP("TOTAL - "&amp;B14,COMPOSICAO_AUX_3!$A:$J,10,FALSE),VLOOKUP(B14,I!$A:$D,4,FALSE))</f>
        <v>1.1499999999999999</v>
      </c>
      <c r="J14" s="77">
        <f t="shared" si="0"/>
        <v>1.1499999999999999</v>
      </c>
      <c r="K14" s="78"/>
    </row>
    <row r="15" spans="1:13" ht="30" customHeight="1" x14ac:dyDescent="0.25">
      <c r="A15" s="16" t="s">
        <v>115</v>
      </c>
      <c r="B15" s="19">
        <v>95378</v>
      </c>
      <c r="C15" s="74" t="str">
        <f>VLOOKUP(B15,IF(A15="COMPOSICAO",S!$A:$D,I!$A:$D),2,FALSE)</f>
        <v>CURSO DE CAPACITAÇÃO PARA SERVENTE (ENCARGOS COMPLEMENTARES) - HORISTA</v>
      </c>
      <c r="D15" s="74"/>
      <c r="E15" s="74"/>
      <c r="F15" s="74"/>
      <c r="G15" s="16" t="str">
        <f>VLOOKUP(B15,IF(A15="COMPOSICAO",S!$A:$D,I!$A:$D),3,FALSE)</f>
        <v>H</v>
      </c>
      <c r="H15" s="17">
        <v>1</v>
      </c>
      <c r="I15" s="17">
        <f>IF(A15="COMPOSICAO",VLOOKUP("TOTAL - "&amp;B15,COMPOSICAO_AUX_3!$A:$J,10,FALSE),VLOOKUP(B15,I!$A:$D,4,FALSE))</f>
        <v>0.18</v>
      </c>
      <c r="J15" s="77">
        <f t="shared" si="0"/>
        <v>0.18</v>
      </c>
      <c r="K15" s="78"/>
    </row>
    <row r="16" spans="1:13" ht="15" customHeight="1" x14ac:dyDescent="0.25">
      <c r="A16" s="23" t="s">
        <v>156</v>
      </c>
      <c r="B16" s="24"/>
      <c r="C16" s="24"/>
      <c r="D16" s="24"/>
      <c r="E16" s="24"/>
      <c r="F16" s="24"/>
      <c r="G16" s="25"/>
      <c r="H16" s="26"/>
      <c r="I16" s="27"/>
      <c r="J16" s="77">
        <f>SUM(J7:K15)</f>
        <v>16.329999999999998</v>
      </c>
      <c r="K16" s="78"/>
    </row>
    <row r="17" spans="1:13" ht="15" customHeight="1" x14ac:dyDescent="0.25">
      <c r="A17" s="3"/>
      <c r="B17" s="3"/>
      <c r="C17" s="3"/>
      <c r="D17" s="3"/>
      <c r="E17" s="3"/>
      <c r="F17" s="3"/>
      <c r="G17" s="3"/>
      <c r="H17" s="3"/>
      <c r="I17" s="3"/>
      <c r="J17" s="3"/>
      <c r="K17" s="3"/>
    </row>
    <row r="18" spans="1:13" ht="15" customHeight="1" x14ac:dyDescent="0.25">
      <c r="A18" s="10" t="s">
        <v>110</v>
      </c>
      <c r="B18" s="10" t="s">
        <v>31</v>
      </c>
      <c r="C18" s="79" t="s">
        <v>8</v>
      </c>
      <c r="D18" s="80"/>
      <c r="E18" s="80"/>
      <c r="F18" s="80"/>
      <c r="G18" s="6" t="s">
        <v>32</v>
      </c>
      <c r="H18" s="6" t="s">
        <v>111</v>
      </c>
      <c r="I18" s="6" t="s">
        <v>112</v>
      </c>
      <c r="J18" s="51" t="s">
        <v>10</v>
      </c>
      <c r="K18" s="52"/>
    </row>
    <row r="19" spans="1:13" ht="30" customHeight="1" x14ac:dyDescent="0.25">
      <c r="A19" s="6" t="s">
        <v>113</v>
      </c>
      <c r="B19" s="20">
        <v>88377</v>
      </c>
      <c r="C19" s="81" t="str">
        <f>VLOOKUP(B19,S!$A:$D,2,FALSE)</f>
        <v>OPERADOR DE BETONEIRA ESTACIONÁRIA/MISTURADOR COM ENCARGOS COMPLEMENTARES</v>
      </c>
      <c r="D19" s="81"/>
      <c r="E19" s="81"/>
      <c r="F19" s="82"/>
      <c r="G19" s="6" t="str">
        <f>VLOOKUP(B19,S!$A:$D,3,FALSE)</f>
        <v>H</v>
      </c>
      <c r="H19" s="21"/>
      <c r="I19" s="21">
        <f>J28</f>
        <v>19.650000000000006</v>
      </c>
      <c r="J19" s="73"/>
      <c r="K19" s="69"/>
      <c r="L19" s="21">
        <f>VLOOKUP(B19,S!$A:$D,4,FALSE)</f>
        <v>19.649999999999999</v>
      </c>
      <c r="M19" s="6" t="str">
        <f>IF(ROUND((L19-I19),2)=0,"OK, confere com a tabela.",IF(ROUND((L19-I19),2)&lt;0,"ACIMA ("&amp;TEXT(ROUND(I19*100/L19,4),"0,0000")&amp;" %) da tabela.","ABAIXO ("&amp;TEXT(ROUND(I19*100/L19,4),"0,0000")&amp;" %) da tabela."))</f>
        <v>OK, confere com a tabela.</v>
      </c>
    </row>
    <row r="20" spans="1:13" ht="15" customHeight="1" x14ac:dyDescent="0.25">
      <c r="A20" s="16" t="s">
        <v>114</v>
      </c>
      <c r="B20" s="19">
        <v>37370</v>
      </c>
      <c r="C20" s="74" t="str">
        <f>VLOOKUP(B20,IF(A20="COMPOSICAO",S!$A:$D,I!$A:$D),2,FALSE)</f>
        <v>ALIMENTACAO - HORISTA (COLETADO CAIXA)</v>
      </c>
      <c r="D20" s="74"/>
      <c r="E20" s="74"/>
      <c r="F20" s="74"/>
      <c r="G20" s="16" t="str">
        <f>VLOOKUP(B20,IF(A20="COMPOSICAO",S!$A:$D,I!$A:$D),3,FALSE)</f>
        <v>H</v>
      </c>
      <c r="H20" s="17">
        <v>1</v>
      </c>
      <c r="I20" s="17">
        <f>IF(A20="COMPOSICAO",VLOOKUP("TOTAL - "&amp;B20,COMPOSICAO_AUX_3!$A:$J,10,FALSE),VLOOKUP(B20,I!$A:$D,4,FALSE))</f>
        <v>2.29</v>
      </c>
      <c r="J20" s="77">
        <f t="shared" ref="J20:J27" si="1">TRUNC(H20*I20,2)</f>
        <v>2.29</v>
      </c>
      <c r="K20" s="78"/>
    </row>
    <row r="21" spans="1:13" ht="15" customHeight="1" x14ac:dyDescent="0.25">
      <c r="A21" s="16" t="s">
        <v>114</v>
      </c>
      <c r="B21" s="19">
        <v>37371</v>
      </c>
      <c r="C21" s="74" t="str">
        <f>VLOOKUP(B21,IF(A21="COMPOSICAO",S!$A:$D,I!$A:$D),2,FALSE)</f>
        <v>TRANSPORTE - HORISTA (COLETADO CAIXA)</v>
      </c>
      <c r="D21" s="74"/>
      <c r="E21" s="74"/>
      <c r="F21" s="74"/>
      <c r="G21" s="16" t="str">
        <f>VLOOKUP(B21,IF(A21="COMPOSICAO",S!$A:$D,I!$A:$D),3,FALSE)</f>
        <v>H</v>
      </c>
      <c r="H21" s="17">
        <v>1</v>
      </c>
      <c r="I21" s="17">
        <f>IF(A21="COMPOSICAO",VLOOKUP("TOTAL - "&amp;B21,COMPOSICAO_AUX_3!$A:$J,10,FALSE),VLOOKUP(B21,I!$A:$D,4,FALSE))</f>
        <v>0.69</v>
      </c>
      <c r="J21" s="77">
        <f t="shared" si="1"/>
        <v>0.69</v>
      </c>
      <c r="K21" s="78"/>
    </row>
    <row r="22" spans="1:13" ht="15" customHeight="1" x14ac:dyDescent="0.25">
      <c r="A22" s="16" t="s">
        <v>114</v>
      </c>
      <c r="B22" s="19">
        <v>37372</v>
      </c>
      <c r="C22" s="74" t="str">
        <f>VLOOKUP(B22,IF(A22="COMPOSICAO",S!$A:$D,I!$A:$D),2,FALSE)</f>
        <v>EXAMES - HORISTA (COLETADO CAIXA)</v>
      </c>
      <c r="D22" s="74"/>
      <c r="E22" s="74"/>
      <c r="F22" s="74"/>
      <c r="G22" s="16" t="str">
        <f>VLOOKUP(B22,IF(A22="COMPOSICAO",S!$A:$D,I!$A:$D),3,FALSE)</f>
        <v>H</v>
      </c>
      <c r="H22" s="17">
        <v>1</v>
      </c>
      <c r="I22" s="17">
        <f>IF(A22="COMPOSICAO",VLOOKUP("TOTAL - "&amp;B22,COMPOSICAO_AUX_3!$A:$J,10,FALSE),VLOOKUP(B22,I!$A:$D,4,FALSE))</f>
        <v>0.81</v>
      </c>
      <c r="J22" s="77">
        <f t="shared" si="1"/>
        <v>0.81</v>
      </c>
      <c r="K22" s="78"/>
    </row>
    <row r="23" spans="1:13" ht="15" customHeight="1" x14ac:dyDescent="0.25">
      <c r="A23" s="16" t="s">
        <v>114</v>
      </c>
      <c r="B23" s="19">
        <v>37373</v>
      </c>
      <c r="C23" s="74" t="str">
        <f>VLOOKUP(B23,IF(A23="COMPOSICAO",S!$A:$D,I!$A:$D),2,FALSE)</f>
        <v>SEGURO - HORISTA (COLETADO CAIXA)</v>
      </c>
      <c r="D23" s="74"/>
      <c r="E23" s="74"/>
      <c r="F23" s="74"/>
      <c r="G23" s="16" t="str">
        <f>VLOOKUP(B23,IF(A23="COMPOSICAO",S!$A:$D,I!$A:$D),3,FALSE)</f>
        <v>H</v>
      </c>
      <c r="H23" s="17">
        <v>1</v>
      </c>
      <c r="I23" s="17">
        <f>IF(A23="COMPOSICAO",VLOOKUP("TOTAL - "&amp;B23,COMPOSICAO_AUX_3!$A:$J,10,FALSE),VLOOKUP(B23,I!$A:$D,4,FALSE))</f>
        <v>0.06</v>
      </c>
      <c r="J23" s="77">
        <f t="shared" si="1"/>
        <v>0.06</v>
      </c>
      <c r="K23" s="78"/>
    </row>
    <row r="24" spans="1:13" ht="30" customHeight="1" x14ac:dyDescent="0.25">
      <c r="A24" s="16" t="s">
        <v>114</v>
      </c>
      <c r="B24" s="19">
        <v>37666</v>
      </c>
      <c r="C24" s="74" t="str">
        <f>VLOOKUP(B24,IF(A24="COMPOSICAO",S!$A:$D,I!$A:$D),2,FALSE)</f>
        <v>OPERADOR DE BETONEIRA ESTACIONARIA / MISTURADOR</v>
      </c>
      <c r="D24" s="74"/>
      <c r="E24" s="74"/>
      <c r="F24" s="74"/>
      <c r="G24" s="16" t="str">
        <f>VLOOKUP(B24,IF(A24="COMPOSICAO",S!$A:$D,I!$A:$D),3,FALSE)</f>
        <v>H</v>
      </c>
      <c r="H24" s="17">
        <v>1</v>
      </c>
      <c r="I24" s="17">
        <f>IF(A24="COMPOSICAO",VLOOKUP("TOTAL - "&amp;B24,COMPOSICAO_AUX_3!$A:$J,10,FALSE),VLOOKUP(B24,I!$A:$D,4,FALSE))</f>
        <v>14.93</v>
      </c>
      <c r="J24" s="77">
        <f t="shared" si="1"/>
        <v>14.93</v>
      </c>
      <c r="K24" s="78"/>
    </row>
    <row r="25" spans="1:13" ht="45" customHeight="1" x14ac:dyDescent="0.25">
      <c r="A25" s="16" t="s">
        <v>114</v>
      </c>
      <c r="B25" s="19">
        <v>43464</v>
      </c>
      <c r="C25" s="74" t="str">
        <f>VLOOKUP(B25,IF(A25="COMPOSICAO",S!$A:$D,I!$A:$D),2,FALSE)</f>
        <v>FERRAMENTAS - FAMILIA OPERADOR ESCAVADEIRA - HORISTA (ENCARGOS COMPLEMENTARES - COLETADO CAIXA)</v>
      </c>
      <c r="D25" s="74"/>
      <c r="E25" s="74"/>
      <c r="F25" s="74"/>
      <c r="G25" s="16" t="str">
        <f>VLOOKUP(B25,IF(A25="COMPOSICAO",S!$A:$D,I!$A:$D),3,FALSE)</f>
        <v>H</v>
      </c>
      <c r="H25" s="17">
        <v>1</v>
      </c>
      <c r="I25" s="17">
        <f>IF(A25="COMPOSICAO",VLOOKUP("TOTAL - "&amp;B25,COMPOSICAO_AUX_3!$A:$J,10,FALSE),VLOOKUP(B25,I!$A:$D,4,FALSE))</f>
        <v>0.01</v>
      </c>
      <c r="J25" s="77">
        <f t="shared" si="1"/>
        <v>0.01</v>
      </c>
      <c r="K25" s="78"/>
    </row>
    <row r="26" spans="1:13" ht="30" customHeight="1" x14ac:dyDescent="0.25">
      <c r="A26" s="16" t="s">
        <v>114</v>
      </c>
      <c r="B26" s="19">
        <v>43488</v>
      </c>
      <c r="C26" s="74" t="str">
        <f>VLOOKUP(B26,IF(A26="COMPOSICAO",S!$A:$D,I!$A:$D),2,FALSE)</f>
        <v>EPI - FAMILIA OPERADOR ESCAVADEIRA - HORISTA (ENCARGOS COMPLEMENTARES - COLETADO CAIXA)</v>
      </c>
      <c r="D26" s="74"/>
      <c r="E26" s="74"/>
      <c r="F26" s="74"/>
      <c r="G26" s="16" t="str">
        <f>VLOOKUP(B26,IF(A26="COMPOSICAO",S!$A:$D,I!$A:$D),3,FALSE)</f>
        <v>H</v>
      </c>
      <c r="H26" s="17">
        <v>1</v>
      </c>
      <c r="I26" s="17">
        <f>IF(A26="COMPOSICAO",VLOOKUP("TOTAL - "&amp;B26,COMPOSICAO_AUX_3!$A:$J,10,FALSE),VLOOKUP(B26,I!$A:$D,4,FALSE))</f>
        <v>0.76</v>
      </c>
      <c r="J26" s="77">
        <f t="shared" si="1"/>
        <v>0.76</v>
      </c>
      <c r="K26" s="78"/>
    </row>
    <row r="27" spans="1:13" ht="45" customHeight="1" x14ac:dyDescent="0.25">
      <c r="A27" s="16" t="s">
        <v>115</v>
      </c>
      <c r="B27" s="19">
        <v>95389</v>
      </c>
      <c r="C27" s="74" t="str">
        <f>VLOOKUP(B27,IF(A27="COMPOSICAO",S!$A:$D,I!$A:$D),2,FALSE)</f>
        <v>CURSO DE CAPACITAÇÃO PARA OPERADOR DE BETONEIRA ESTACIONÁRIA/MISTURADOR (ENCARGOS COMPLEMENTARES) - HORISTA</v>
      </c>
      <c r="D27" s="74"/>
      <c r="E27" s="74"/>
      <c r="F27" s="74"/>
      <c r="G27" s="16" t="str">
        <f>VLOOKUP(B27,IF(A27="COMPOSICAO",S!$A:$D,I!$A:$D),3,FALSE)</f>
        <v>H</v>
      </c>
      <c r="H27" s="17">
        <v>1</v>
      </c>
      <c r="I27" s="17">
        <f>IF(A27="COMPOSICAO",VLOOKUP("TOTAL - "&amp;B27,COMPOSICAO_AUX_3!$A:$J,10,FALSE),VLOOKUP(B27,I!$A:$D,4,FALSE))</f>
        <v>0.1</v>
      </c>
      <c r="J27" s="77">
        <f t="shared" si="1"/>
        <v>0.1</v>
      </c>
      <c r="K27" s="78"/>
    </row>
    <row r="28" spans="1:13" ht="15" customHeight="1" x14ac:dyDescent="0.25">
      <c r="A28" s="23" t="s">
        <v>172</v>
      </c>
      <c r="B28" s="24"/>
      <c r="C28" s="24"/>
      <c r="D28" s="24"/>
      <c r="E28" s="24"/>
      <c r="F28" s="24"/>
      <c r="G28" s="25"/>
      <c r="H28" s="26"/>
      <c r="I28" s="27"/>
      <c r="J28" s="77">
        <f>SUM(J19:K27)</f>
        <v>19.650000000000006</v>
      </c>
      <c r="K28" s="78"/>
    </row>
    <row r="29" spans="1:13" ht="15" customHeight="1" x14ac:dyDescent="0.25">
      <c r="A29" s="3"/>
      <c r="B29" s="3"/>
      <c r="C29" s="3"/>
      <c r="D29" s="3"/>
      <c r="E29" s="3"/>
      <c r="F29" s="3"/>
      <c r="G29" s="3"/>
      <c r="H29" s="3"/>
      <c r="I29" s="3"/>
      <c r="J29" s="3"/>
      <c r="K29" s="3"/>
    </row>
    <row r="30" spans="1:13" ht="15" customHeight="1" x14ac:dyDescent="0.25">
      <c r="A30" s="10" t="s">
        <v>110</v>
      </c>
      <c r="B30" s="10" t="s">
        <v>31</v>
      </c>
      <c r="C30" s="79" t="s">
        <v>8</v>
      </c>
      <c r="D30" s="80"/>
      <c r="E30" s="80"/>
      <c r="F30" s="80"/>
      <c r="G30" s="6" t="s">
        <v>32</v>
      </c>
      <c r="H30" s="6" t="s">
        <v>111</v>
      </c>
      <c r="I30" s="6" t="s">
        <v>112</v>
      </c>
      <c r="J30" s="51" t="s">
        <v>10</v>
      </c>
      <c r="K30" s="52"/>
    </row>
    <row r="31" spans="1:13" ht="60" customHeight="1" x14ac:dyDescent="0.25">
      <c r="A31" s="6" t="s">
        <v>160</v>
      </c>
      <c r="B31" s="20">
        <v>88830</v>
      </c>
      <c r="C31" s="81" t="str">
        <f>VLOOKUP(B31,S!$A:$D,2,FALSE)</f>
        <v>BETONEIRA CAPACIDADE NOMINAL DE 400 L, CAPACIDADE DE MISTURA 280 L, MOTOR ELÉTRICO TRIFÁSICO POTÊNCIA DE 2 CV, SEM CARREGADOR - CHP DIURNO. AF_10/2014</v>
      </c>
      <c r="D31" s="81"/>
      <c r="E31" s="81"/>
      <c r="F31" s="82"/>
      <c r="G31" s="6" t="str">
        <f>VLOOKUP(B31,S!$A:$D,3,FALSE)</f>
        <v>CHP</v>
      </c>
      <c r="H31" s="21"/>
      <c r="I31" s="21">
        <f>J36</f>
        <v>1.9500000000000002</v>
      </c>
      <c r="J31" s="73"/>
      <c r="K31" s="69"/>
      <c r="L31" s="21">
        <f>VLOOKUP(B31,S!$A:$D,4,FALSE)</f>
        <v>1.95</v>
      </c>
      <c r="M31" s="6" t="str">
        <f>IF(ROUND((L31-I31),2)=0,"OK, confere com a tabela.",IF(ROUND((L31-I31),2)&lt;0,"ACIMA ("&amp;TEXT(ROUND(I31*100/L31,4),"0,0000")&amp;" %) da tabela.","ABAIXO ("&amp;TEXT(ROUND(I31*100/L31,4),"0,0000")&amp;" %) da tabela."))</f>
        <v>OK, confere com a tabela.</v>
      </c>
    </row>
    <row r="32" spans="1:13" ht="60" customHeight="1" x14ac:dyDescent="0.25">
      <c r="A32" s="16" t="s">
        <v>115</v>
      </c>
      <c r="B32" s="19">
        <v>88829</v>
      </c>
      <c r="C32" s="74" t="str">
        <f>VLOOKUP(B32,IF(A32="COMPOSICAO",S!$A:$D,I!$A:$D),2,FALSE)</f>
        <v>BETONEIRA CAPACIDADE NOMINAL DE 400 L, CAPACIDADE DE MISTURA 280 L, MOTOR ELÉTRICO TRIFÁSICO POTÊNCIA DE 2 CV, SEM CARREGADOR - MATERIAIS NA OPERAÇÃO. AF_10/2014</v>
      </c>
      <c r="D32" s="74"/>
      <c r="E32" s="74"/>
      <c r="F32" s="74"/>
      <c r="G32" s="16" t="str">
        <f>VLOOKUP(B32,IF(A32="COMPOSICAO",S!$A:$D,I!$A:$D),3,FALSE)</f>
        <v>H</v>
      </c>
      <c r="H32" s="17">
        <v>1</v>
      </c>
      <c r="I32" s="17">
        <f>IF(A32="COMPOSICAO",VLOOKUP("TOTAL - "&amp;B32,COMPOSICAO_AUX_3!$A:$J,10,FALSE),VLOOKUP(B32,I!$A:$D,4,FALSE))</f>
        <v>1.27</v>
      </c>
      <c r="J32" s="77">
        <f>TRUNC(H32*I32,2)</f>
        <v>1.27</v>
      </c>
      <c r="K32" s="78"/>
    </row>
    <row r="33" spans="1:13" ht="60" customHeight="1" x14ac:dyDescent="0.25">
      <c r="A33" s="16" t="s">
        <v>115</v>
      </c>
      <c r="B33" s="19">
        <v>88828</v>
      </c>
      <c r="C33" s="74" t="str">
        <f>VLOOKUP(B33,IF(A33="COMPOSICAO",S!$A:$D,I!$A:$D),2,FALSE)</f>
        <v>BETONEIRA CAPACIDADE NOMINAL DE 400 L, CAPACIDADE DE MISTURA 280 L, MOTOR ELÉTRICO TRIFÁSICO POTÊNCIA DE 2 CV, SEM CARREGADOR - MANUTENÇÃO. AF_10/2014</v>
      </c>
      <c r="D33" s="74"/>
      <c r="E33" s="74"/>
      <c r="F33" s="74"/>
      <c r="G33" s="16" t="str">
        <f>VLOOKUP(B33,IF(A33="COMPOSICAO",S!$A:$D,I!$A:$D),3,FALSE)</f>
        <v>H</v>
      </c>
      <c r="H33" s="17">
        <v>1</v>
      </c>
      <c r="I33" s="17">
        <f>IF(A33="COMPOSICAO",VLOOKUP("TOTAL - "&amp;B33,COMPOSICAO_AUX_3!$A:$J,10,FALSE),VLOOKUP(B33,I!$A:$D,4,FALSE))</f>
        <v>0.34</v>
      </c>
      <c r="J33" s="77">
        <f>TRUNC(H33*I33,2)</f>
        <v>0.34</v>
      </c>
      <c r="K33" s="78"/>
    </row>
    <row r="34" spans="1:13" ht="60" customHeight="1" x14ac:dyDescent="0.25">
      <c r="A34" s="16" t="s">
        <v>115</v>
      </c>
      <c r="B34" s="19">
        <v>88827</v>
      </c>
      <c r="C34" s="74" t="str">
        <f>VLOOKUP(B34,IF(A34="COMPOSICAO",S!$A:$D,I!$A:$D),2,FALSE)</f>
        <v>BETONEIRA CAPACIDADE NOMINAL DE 400 L, CAPACIDADE DE MISTURA 280 L, MOTOR ELÉTRICO TRIFÁSICO POTÊNCIA DE 2 CV, SEM CARREGADOR - JUROS. AF_10/2014</v>
      </c>
      <c r="D34" s="74"/>
      <c r="E34" s="74"/>
      <c r="F34" s="74"/>
      <c r="G34" s="16" t="str">
        <f>VLOOKUP(B34,IF(A34="COMPOSICAO",S!$A:$D,I!$A:$D),3,FALSE)</f>
        <v>H</v>
      </c>
      <c r="H34" s="17">
        <v>1</v>
      </c>
      <c r="I34" s="17">
        <f>IF(A34="COMPOSICAO",VLOOKUP("TOTAL - "&amp;B34,COMPOSICAO_AUX_3!$A:$J,10,FALSE),VLOOKUP(B34,I!$A:$D,4,FALSE))</f>
        <v>0.03</v>
      </c>
      <c r="J34" s="77">
        <f>TRUNC(H34*I34,2)</f>
        <v>0.03</v>
      </c>
      <c r="K34" s="78"/>
    </row>
    <row r="35" spans="1:13" ht="60" customHeight="1" x14ac:dyDescent="0.25">
      <c r="A35" s="16" t="s">
        <v>115</v>
      </c>
      <c r="B35" s="19">
        <v>88826</v>
      </c>
      <c r="C35" s="74" t="str">
        <f>VLOOKUP(B35,IF(A35="COMPOSICAO",S!$A:$D,I!$A:$D),2,FALSE)</f>
        <v>BETONEIRA CAPACIDADE NOMINAL DE 400 L, CAPACIDADE DE MISTURA 280 L, MOTOR ELÉTRICO TRIFÁSICO POTÊNCIA DE 2 CV, SEM CARREGADOR - DEPRECIAÇÃO. AF_10/2014</v>
      </c>
      <c r="D35" s="74"/>
      <c r="E35" s="74"/>
      <c r="F35" s="74"/>
      <c r="G35" s="16" t="str">
        <f>VLOOKUP(B35,IF(A35="COMPOSICAO",S!$A:$D,I!$A:$D),3,FALSE)</f>
        <v>H</v>
      </c>
      <c r="H35" s="17">
        <v>1</v>
      </c>
      <c r="I35" s="17">
        <f>IF(A35="COMPOSICAO",VLOOKUP("TOTAL - "&amp;B35,COMPOSICAO_AUX_3!$A:$J,10,FALSE),VLOOKUP(B35,I!$A:$D,4,FALSE))</f>
        <v>0.31</v>
      </c>
      <c r="J35" s="77">
        <f>TRUNC(H35*I35,2)</f>
        <v>0.31</v>
      </c>
      <c r="K35" s="78"/>
    </row>
    <row r="36" spans="1:13" ht="15" customHeight="1" x14ac:dyDescent="0.25">
      <c r="A36" s="23" t="s">
        <v>173</v>
      </c>
      <c r="B36" s="24"/>
      <c r="C36" s="24"/>
      <c r="D36" s="24"/>
      <c r="E36" s="24"/>
      <c r="F36" s="24"/>
      <c r="G36" s="25"/>
      <c r="H36" s="26"/>
      <c r="I36" s="27"/>
      <c r="J36" s="77">
        <f>SUM(J31:K35)</f>
        <v>1.9500000000000002</v>
      </c>
      <c r="K36" s="78"/>
    </row>
    <row r="37" spans="1:13" ht="15" customHeight="1" x14ac:dyDescent="0.25">
      <c r="A37" s="3"/>
      <c r="B37" s="3"/>
      <c r="C37" s="3"/>
      <c r="D37" s="3"/>
      <c r="E37" s="3"/>
      <c r="F37" s="3"/>
      <c r="G37" s="3"/>
      <c r="H37" s="3"/>
      <c r="I37" s="3"/>
      <c r="J37" s="3"/>
      <c r="K37" s="3"/>
    </row>
    <row r="38" spans="1:13" ht="15" customHeight="1" x14ac:dyDescent="0.25">
      <c r="A38" s="10" t="s">
        <v>110</v>
      </c>
      <c r="B38" s="10" t="s">
        <v>31</v>
      </c>
      <c r="C38" s="79" t="s">
        <v>8</v>
      </c>
      <c r="D38" s="80"/>
      <c r="E38" s="80"/>
      <c r="F38" s="80"/>
      <c r="G38" s="6" t="s">
        <v>32</v>
      </c>
      <c r="H38" s="6" t="s">
        <v>111</v>
      </c>
      <c r="I38" s="6" t="s">
        <v>112</v>
      </c>
      <c r="J38" s="51" t="s">
        <v>10</v>
      </c>
      <c r="K38" s="52"/>
    </row>
    <row r="39" spans="1:13" ht="60" customHeight="1" x14ac:dyDescent="0.25">
      <c r="A39" s="6" t="s">
        <v>160</v>
      </c>
      <c r="B39" s="20">
        <v>88831</v>
      </c>
      <c r="C39" s="81" t="str">
        <f>VLOOKUP(B39,S!$A:$D,2,FALSE)</f>
        <v>BETONEIRA CAPACIDADE NOMINAL DE 400 L, CAPACIDADE DE MISTURA 280 L, MOTOR ELÉTRICO TRIFÁSICO POTÊNCIA DE 2 CV, SEM CARREGADOR - CHI DIURNO. AF_10/2014</v>
      </c>
      <c r="D39" s="81"/>
      <c r="E39" s="81"/>
      <c r="F39" s="82"/>
      <c r="G39" s="6" t="str">
        <f>VLOOKUP(B39,S!$A:$D,3,FALSE)</f>
        <v>CHI</v>
      </c>
      <c r="H39" s="21"/>
      <c r="I39" s="21">
        <f>J42</f>
        <v>0.33999999999999997</v>
      </c>
      <c r="J39" s="73"/>
      <c r="K39" s="69"/>
      <c r="L39" s="21">
        <f>VLOOKUP(B39,S!$A:$D,4,FALSE)</f>
        <v>0.34</v>
      </c>
      <c r="M39" s="6" t="str">
        <f>IF(ROUND((L39-I39),2)=0,"OK, confere com a tabela.",IF(ROUND((L39-I39),2)&lt;0,"ACIMA ("&amp;TEXT(ROUND(I39*100/L39,4),"0,0000")&amp;" %) da tabela.","ABAIXO ("&amp;TEXT(ROUND(I39*100/L39,4),"0,0000")&amp;" %) da tabela."))</f>
        <v>OK, confere com a tabela.</v>
      </c>
    </row>
    <row r="40" spans="1:13" ht="60" customHeight="1" x14ac:dyDescent="0.25">
      <c r="A40" s="16" t="s">
        <v>115</v>
      </c>
      <c r="B40" s="19">
        <v>88827</v>
      </c>
      <c r="C40" s="74" t="str">
        <f>VLOOKUP(B40,IF(A40="COMPOSICAO",S!$A:$D,I!$A:$D),2,FALSE)</f>
        <v>BETONEIRA CAPACIDADE NOMINAL DE 400 L, CAPACIDADE DE MISTURA 280 L, MOTOR ELÉTRICO TRIFÁSICO POTÊNCIA DE 2 CV, SEM CARREGADOR - JUROS. AF_10/2014</v>
      </c>
      <c r="D40" s="74"/>
      <c r="E40" s="74"/>
      <c r="F40" s="74"/>
      <c r="G40" s="16" t="str">
        <f>VLOOKUP(B40,IF(A40="COMPOSICAO",S!$A:$D,I!$A:$D),3,FALSE)</f>
        <v>H</v>
      </c>
      <c r="H40" s="17">
        <v>1</v>
      </c>
      <c r="I40" s="17">
        <f>IF(A40="COMPOSICAO",VLOOKUP("TOTAL - "&amp;B40,COMPOSICAO_AUX_3!$A:$J,10,FALSE),VLOOKUP(B40,I!$A:$D,4,FALSE))</f>
        <v>0.03</v>
      </c>
      <c r="J40" s="77">
        <f>TRUNC(H40*I40,2)</f>
        <v>0.03</v>
      </c>
      <c r="K40" s="78"/>
    </row>
    <row r="41" spans="1:13" ht="60" customHeight="1" x14ac:dyDescent="0.25">
      <c r="A41" s="16" t="s">
        <v>115</v>
      </c>
      <c r="B41" s="19">
        <v>88826</v>
      </c>
      <c r="C41" s="74" t="str">
        <f>VLOOKUP(B41,IF(A41="COMPOSICAO",S!$A:$D,I!$A:$D),2,FALSE)</f>
        <v>BETONEIRA CAPACIDADE NOMINAL DE 400 L, CAPACIDADE DE MISTURA 280 L, MOTOR ELÉTRICO TRIFÁSICO POTÊNCIA DE 2 CV, SEM CARREGADOR - DEPRECIAÇÃO. AF_10/2014</v>
      </c>
      <c r="D41" s="74"/>
      <c r="E41" s="74"/>
      <c r="F41" s="74"/>
      <c r="G41" s="16" t="str">
        <f>VLOOKUP(B41,IF(A41="COMPOSICAO",S!$A:$D,I!$A:$D),3,FALSE)</f>
        <v>H</v>
      </c>
      <c r="H41" s="17">
        <v>1</v>
      </c>
      <c r="I41" s="17">
        <f>IF(A41="COMPOSICAO",VLOOKUP("TOTAL - "&amp;B41,COMPOSICAO_AUX_3!$A:$J,10,FALSE),VLOOKUP(B41,I!$A:$D,4,FALSE))</f>
        <v>0.31</v>
      </c>
      <c r="J41" s="77">
        <f>TRUNC(H41*I41,2)</f>
        <v>0.31</v>
      </c>
      <c r="K41" s="78"/>
    </row>
    <row r="42" spans="1:13" ht="15" customHeight="1" x14ac:dyDescent="0.25">
      <c r="A42" s="23" t="s">
        <v>174</v>
      </c>
      <c r="B42" s="24"/>
      <c r="C42" s="24"/>
      <c r="D42" s="24"/>
      <c r="E42" s="24"/>
      <c r="F42" s="24"/>
      <c r="G42" s="25"/>
      <c r="H42" s="26"/>
      <c r="I42" s="27"/>
      <c r="J42" s="77">
        <f>SUM(J39:K41)</f>
        <v>0.33999999999999997</v>
      </c>
      <c r="K42" s="78"/>
    </row>
    <row r="43" spans="1:13" ht="15" customHeight="1" x14ac:dyDescent="0.25">
      <c r="A43" s="3"/>
      <c r="B43" s="3"/>
      <c r="C43" s="3"/>
      <c r="D43" s="3"/>
      <c r="E43" s="3"/>
      <c r="F43" s="3"/>
      <c r="G43" s="3"/>
      <c r="H43" s="3"/>
      <c r="I43" s="3"/>
      <c r="J43" s="3"/>
      <c r="K43" s="3"/>
    </row>
    <row r="44" spans="1:13" ht="15" customHeight="1" x14ac:dyDescent="0.25">
      <c r="A44" s="10" t="s">
        <v>110</v>
      </c>
      <c r="B44" s="10" t="s">
        <v>31</v>
      </c>
      <c r="C44" s="79" t="s">
        <v>8</v>
      </c>
      <c r="D44" s="80"/>
      <c r="E44" s="80"/>
      <c r="F44" s="80"/>
      <c r="G44" s="6" t="s">
        <v>32</v>
      </c>
      <c r="H44" s="6" t="s">
        <v>111</v>
      </c>
      <c r="I44" s="6" t="s">
        <v>112</v>
      </c>
      <c r="J44" s="51" t="s">
        <v>10</v>
      </c>
      <c r="K44" s="52"/>
    </row>
    <row r="45" spans="1:13" ht="30" customHeight="1" x14ac:dyDescent="0.25">
      <c r="A45" s="6" t="s">
        <v>113</v>
      </c>
      <c r="B45" s="20">
        <v>95330</v>
      </c>
      <c r="C45" s="81" t="str">
        <f>VLOOKUP(B45,S!$A:$D,2,FALSE)</f>
        <v>CURSO DE CAPACITAÇÃO PARA CARPINTEIRO DE FÔRMAS (ENCARGOS COMPLEMENTARES) - HORISTA</v>
      </c>
      <c r="D45" s="81"/>
      <c r="E45" s="81"/>
      <c r="F45" s="82"/>
      <c r="G45" s="6" t="str">
        <f>VLOOKUP(B45,S!$A:$D,3,FALSE)</f>
        <v>H</v>
      </c>
      <c r="H45" s="21"/>
      <c r="I45" s="21">
        <f>J47</f>
        <v>0.14000000000000001</v>
      </c>
      <c r="J45" s="73"/>
      <c r="K45" s="69"/>
      <c r="L45" s="21">
        <f>VLOOKUP(B45,S!$A:$D,4,FALSE)</f>
        <v>0.14000000000000001</v>
      </c>
      <c r="M45" s="6" t="str">
        <f>IF(ROUND((L45-I45),2)=0,"OK, confere com a tabela.",IF(ROUND((L45-I45),2)&lt;0,"ACIMA ("&amp;TEXT(ROUND(I45*100/L45,4),"0,0000")&amp;" %) da tabela.","ABAIXO ("&amp;TEXT(ROUND(I45*100/L45,4),"0,0000")&amp;" %) da tabela."))</f>
        <v>OK, confere com a tabela.</v>
      </c>
    </row>
    <row r="46" spans="1:13" ht="15" customHeight="1" x14ac:dyDescent="0.25">
      <c r="A46" s="16" t="s">
        <v>114</v>
      </c>
      <c r="B46" s="19">
        <v>1213</v>
      </c>
      <c r="C46" s="74" t="str">
        <f>VLOOKUP(B46,IF(A46="COMPOSICAO",S!$A:$D,I!$A:$D),2,FALSE)</f>
        <v>CARPINTEIRO DE FORMAS</v>
      </c>
      <c r="D46" s="74"/>
      <c r="E46" s="74"/>
      <c r="F46" s="74"/>
      <c r="G46" s="16" t="str">
        <f>VLOOKUP(B46,IF(A46="COMPOSICAO",S!$A:$D,I!$A:$D),3,FALSE)</f>
        <v>H</v>
      </c>
      <c r="H46" s="29">
        <v>9.4000000000000004E-3</v>
      </c>
      <c r="I46" s="17">
        <f>IF(A46="COMPOSICAO",VLOOKUP("TOTAL - "&amp;B46,COMPOSICAO_AUX_3!$A:$J,10,FALSE),VLOOKUP(B46,I!$A:$D,4,FALSE))</f>
        <v>14.91</v>
      </c>
      <c r="J46" s="77">
        <f>TRUNC(H46*I46,2)</f>
        <v>0.14000000000000001</v>
      </c>
      <c r="K46" s="78"/>
    </row>
    <row r="47" spans="1:13" ht="15" customHeight="1" x14ac:dyDescent="0.25">
      <c r="A47" s="23" t="s">
        <v>175</v>
      </c>
      <c r="B47" s="24"/>
      <c r="C47" s="24"/>
      <c r="D47" s="24"/>
      <c r="E47" s="24"/>
      <c r="F47" s="24"/>
      <c r="G47" s="25"/>
      <c r="H47" s="26"/>
      <c r="I47" s="27"/>
      <c r="J47" s="77">
        <f>SUM(J45:K46)</f>
        <v>0.14000000000000001</v>
      </c>
      <c r="K47" s="78"/>
    </row>
    <row r="48" spans="1:13" ht="15" customHeight="1" x14ac:dyDescent="0.25">
      <c r="A48" s="3"/>
      <c r="B48" s="3"/>
      <c r="C48" s="3"/>
      <c r="D48" s="3"/>
      <c r="E48" s="3"/>
      <c r="F48" s="3"/>
      <c r="G48" s="3"/>
      <c r="H48" s="3"/>
      <c r="I48" s="3"/>
      <c r="J48" s="3"/>
      <c r="K48" s="3"/>
    </row>
    <row r="49" spans="1:13" ht="15" customHeight="1" x14ac:dyDescent="0.25">
      <c r="A49" s="10" t="s">
        <v>110</v>
      </c>
      <c r="B49" s="10" t="s">
        <v>31</v>
      </c>
      <c r="C49" s="79" t="s">
        <v>8</v>
      </c>
      <c r="D49" s="80"/>
      <c r="E49" s="80"/>
      <c r="F49" s="80"/>
      <c r="G49" s="6" t="s">
        <v>32</v>
      </c>
      <c r="H49" s="6" t="s">
        <v>111</v>
      </c>
      <c r="I49" s="6" t="s">
        <v>112</v>
      </c>
      <c r="J49" s="51" t="s">
        <v>10</v>
      </c>
      <c r="K49" s="52"/>
    </row>
    <row r="50" spans="1:13" ht="30" customHeight="1" x14ac:dyDescent="0.25">
      <c r="A50" s="6" t="s">
        <v>113</v>
      </c>
      <c r="B50" s="20">
        <v>95378</v>
      </c>
      <c r="C50" s="81" t="str">
        <f>VLOOKUP(B50,S!$A:$D,2,FALSE)</f>
        <v>CURSO DE CAPACITAÇÃO PARA SERVENTE (ENCARGOS COMPLEMENTARES) - HORISTA</v>
      </c>
      <c r="D50" s="81"/>
      <c r="E50" s="81"/>
      <c r="F50" s="82"/>
      <c r="G50" s="6" t="str">
        <f>VLOOKUP(B50,S!$A:$D,3,FALSE)</f>
        <v>H</v>
      </c>
      <c r="H50" s="21"/>
      <c r="I50" s="21">
        <f>J52</f>
        <v>0.18</v>
      </c>
      <c r="J50" s="73"/>
      <c r="K50" s="69"/>
      <c r="L50" s="21">
        <f>VLOOKUP(B50,S!$A:$D,4,FALSE)</f>
        <v>0.18</v>
      </c>
      <c r="M50" s="6" t="str">
        <f>IF(ROUND((L50-I50),2)=0,"OK, confere com a tabela.",IF(ROUND((L50-I50),2)&lt;0,"ACIMA ("&amp;TEXT(ROUND(I50*100/L50,4),"0,0000")&amp;" %) da tabela.","ABAIXO ("&amp;TEXT(ROUND(I50*100/L50,4),"0,0000")&amp;" %) da tabela."))</f>
        <v>OK, confere com a tabela.</v>
      </c>
    </row>
    <row r="51" spans="1:13" ht="15" customHeight="1" x14ac:dyDescent="0.25">
      <c r="A51" s="16" t="s">
        <v>114</v>
      </c>
      <c r="B51" s="19">
        <v>6111</v>
      </c>
      <c r="C51" s="74" t="str">
        <f>VLOOKUP(B51,IF(A51="COMPOSICAO",S!$A:$D,I!$A:$D),2,FALSE)</f>
        <v>SERVENTE DE OBRAS</v>
      </c>
      <c r="D51" s="74"/>
      <c r="E51" s="74"/>
      <c r="F51" s="74"/>
      <c r="G51" s="16" t="str">
        <f>VLOOKUP(B51,IF(A51="COMPOSICAO",S!$A:$D,I!$A:$D),3,FALSE)</f>
        <v>H</v>
      </c>
      <c r="H51" s="29">
        <v>1.72E-2</v>
      </c>
      <c r="I51" s="17">
        <f>IF(A51="COMPOSICAO",VLOOKUP("TOTAL - "&amp;B51,COMPOSICAO_AUX_3!$A:$J,10,FALSE),VLOOKUP(B51,I!$A:$D,4,FALSE))</f>
        <v>10.59</v>
      </c>
      <c r="J51" s="77">
        <f>TRUNC(H51*I51,2)</f>
        <v>0.18</v>
      </c>
      <c r="K51" s="78"/>
    </row>
    <row r="52" spans="1:13" ht="15" customHeight="1" x14ac:dyDescent="0.25">
      <c r="A52" s="23" t="s">
        <v>176</v>
      </c>
      <c r="B52" s="24"/>
      <c r="C52" s="24"/>
      <c r="D52" s="24"/>
      <c r="E52" s="24"/>
      <c r="F52" s="24"/>
      <c r="G52" s="25"/>
      <c r="H52" s="26"/>
      <c r="I52" s="27"/>
      <c r="J52" s="77">
        <f>SUM(J50:K51)</f>
        <v>0.18</v>
      </c>
      <c r="K52" s="78"/>
    </row>
    <row r="53" spans="1:13" ht="15" customHeight="1" x14ac:dyDescent="0.25">
      <c r="A53" s="3"/>
      <c r="B53" s="3"/>
      <c r="C53" s="3"/>
      <c r="D53" s="3"/>
      <c r="E53" s="3"/>
      <c r="F53" s="3"/>
      <c r="G53" s="3"/>
      <c r="H53" s="3"/>
      <c r="I53" s="3"/>
      <c r="J53" s="3"/>
      <c r="K53" s="3"/>
    </row>
    <row r="54" spans="1:13" ht="15" customHeight="1" x14ac:dyDescent="0.25">
      <c r="A54" s="10" t="s">
        <v>110</v>
      </c>
      <c r="B54" s="10" t="s">
        <v>31</v>
      </c>
      <c r="C54" s="79" t="s">
        <v>8</v>
      </c>
      <c r="D54" s="80"/>
      <c r="E54" s="80"/>
      <c r="F54" s="80"/>
      <c r="G54" s="6" t="s">
        <v>32</v>
      </c>
      <c r="H54" s="6" t="s">
        <v>111</v>
      </c>
      <c r="I54" s="6" t="s">
        <v>112</v>
      </c>
      <c r="J54" s="51" t="s">
        <v>10</v>
      </c>
      <c r="K54" s="52"/>
    </row>
    <row r="55" spans="1:13" ht="45" customHeight="1" x14ac:dyDescent="0.25">
      <c r="A55" s="6" t="s">
        <v>113</v>
      </c>
      <c r="B55" s="20">
        <v>95335</v>
      </c>
      <c r="C55" s="81" t="str">
        <f>VLOOKUP(B55,S!$A:$D,2,FALSE)</f>
        <v>CURSO DE CAPACITAÇÃO PARA ENCANADOR OU BOMBEIRO HIDRÁULICO (ENCARGOS COMPLEMENTARES) - HORISTA</v>
      </c>
      <c r="D55" s="81"/>
      <c r="E55" s="81"/>
      <c r="F55" s="82"/>
      <c r="G55" s="6" t="str">
        <f>VLOOKUP(B55,S!$A:$D,3,FALSE)</f>
        <v>H</v>
      </c>
      <c r="H55" s="21"/>
      <c r="I55" s="21">
        <f>J57</f>
        <v>0.21</v>
      </c>
      <c r="J55" s="73"/>
      <c r="K55" s="69"/>
      <c r="L55" s="21">
        <f>VLOOKUP(B55,S!$A:$D,4,FALSE)</f>
        <v>0.21</v>
      </c>
      <c r="M55" s="6" t="str">
        <f>IF(ROUND((L55-I55),2)=0,"OK, confere com a tabela.",IF(ROUND((L55-I55),2)&lt;0,"ACIMA ("&amp;TEXT(ROUND(I55*100/L55,4),"0,0000")&amp;" %) da tabela.","ABAIXO ("&amp;TEXT(ROUND(I55*100/L55,4),"0,0000")&amp;" %) da tabela."))</f>
        <v>OK, confere com a tabela.</v>
      </c>
    </row>
    <row r="56" spans="1:13" ht="15" customHeight="1" x14ac:dyDescent="0.25">
      <c r="A56" s="16" t="s">
        <v>114</v>
      </c>
      <c r="B56" s="19">
        <v>2696</v>
      </c>
      <c r="C56" s="74" t="str">
        <f>VLOOKUP(B56,IF(A56="COMPOSICAO",S!$A:$D,I!$A:$D),2,FALSE)</f>
        <v>ENCANADOR OU BOMBEIRO HIDRAULICO</v>
      </c>
      <c r="D56" s="74"/>
      <c r="E56" s="74"/>
      <c r="F56" s="74"/>
      <c r="G56" s="16" t="str">
        <f>VLOOKUP(B56,IF(A56="COMPOSICAO",S!$A:$D,I!$A:$D),3,FALSE)</f>
        <v>H</v>
      </c>
      <c r="H56" s="29">
        <v>1.46E-2</v>
      </c>
      <c r="I56" s="17">
        <f>IF(A56="COMPOSICAO",VLOOKUP("TOTAL - "&amp;B56,COMPOSICAO_AUX_3!$A:$J,10,FALSE),VLOOKUP(B56,I!$A:$D,4,FALSE))</f>
        <v>14.91</v>
      </c>
      <c r="J56" s="77">
        <f>TRUNC(H56*I56,2)</f>
        <v>0.21</v>
      </c>
      <c r="K56" s="78"/>
    </row>
    <row r="57" spans="1:13" ht="15" customHeight="1" x14ac:dyDescent="0.25">
      <c r="A57" s="23" t="s">
        <v>177</v>
      </c>
      <c r="B57" s="24"/>
      <c r="C57" s="24"/>
      <c r="D57" s="24"/>
      <c r="E57" s="24"/>
      <c r="F57" s="24"/>
      <c r="G57" s="25"/>
      <c r="H57" s="26"/>
      <c r="I57" s="27"/>
      <c r="J57" s="77">
        <f>SUM(J55:K56)</f>
        <v>0.21</v>
      </c>
      <c r="K57" s="78"/>
    </row>
    <row r="58" spans="1:13" ht="15" customHeight="1" x14ac:dyDescent="0.25">
      <c r="A58" s="3"/>
      <c r="B58" s="3"/>
      <c r="C58" s="3"/>
      <c r="D58" s="3"/>
      <c r="E58" s="3"/>
      <c r="F58" s="3"/>
      <c r="G58" s="3"/>
      <c r="H58" s="3"/>
      <c r="I58" s="3"/>
      <c r="J58" s="3"/>
      <c r="K58" s="3"/>
    </row>
    <row r="59" spans="1:13" ht="15" customHeight="1" x14ac:dyDescent="0.25">
      <c r="A59" s="10" t="s">
        <v>110</v>
      </c>
      <c r="B59" s="10" t="s">
        <v>31</v>
      </c>
      <c r="C59" s="79" t="s">
        <v>8</v>
      </c>
      <c r="D59" s="80"/>
      <c r="E59" s="80"/>
      <c r="F59" s="80"/>
      <c r="G59" s="6" t="s">
        <v>32</v>
      </c>
      <c r="H59" s="6" t="s">
        <v>111</v>
      </c>
      <c r="I59" s="6" t="s">
        <v>112</v>
      </c>
      <c r="J59" s="51" t="s">
        <v>10</v>
      </c>
      <c r="K59" s="52"/>
    </row>
    <row r="60" spans="1:13" ht="45" customHeight="1" x14ac:dyDescent="0.25">
      <c r="A60" s="6" t="s">
        <v>113</v>
      </c>
      <c r="B60" s="20">
        <v>95344</v>
      </c>
      <c r="C60" s="81" t="str">
        <f>VLOOKUP(B60,S!$A:$D,2,FALSE)</f>
        <v>CURSO DE CAPACITAÇÃO PARA MONTADOR DE ESTRUTURA METÁLICA (ENCARGOS COMPLEMENTARES) - HORISTA</v>
      </c>
      <c r="D60" s="81"/>
      <c r="E60" s="81"/>
      <c r="F60" s="82"/>
      <c r="G60" s="6" t="str">
        <f>VLOOKUP(B60,S!$A:$D,3,FALSE)</f>
        <v>H</v>
      </c>
      <c r="H60" s="21"/>
      <c r="I60" s="21">
        <f>J62</f>
        <v>0.14000000000000001</v>
      </c>
      <c r="J60" s="73"/>
      <c r="K60" s="69"/>
      <c r="L60" s="21">
        <f>VLOOKUP(B60,S!$A:$D,4,FALSE)</f>
        <v>0.14000000000000001</v>
      </c>
      <c r="M60" s="6" t="str">
        <f>IF(ROUND((L60-I60),2)=0,"OK, confere com a tabela.",IF(ROUND((L60-I60),2)&lt;0,"ACIMA ("&amp;TEXT(ROUND(I60*100/L60,4),"0,0000")&amp;" %) da tabela.","ABAIXO ("&amp;TEXT(ROUND(I60*100/L60,4),"0,0000")&amp;" %) da tabela."))</f>
        <v>OK, confere com a tabela.</v>
      </c>
    </row>
    <row r="61" spans="1:13" ht="15" customHeight="1" x14ac:dyDescent="0.25">
      <c r="A61" s="16" t="s">
        <v>114</v>
      </c>
      <c r="B61" s="19">
        <v>44497</v>
      </c>
      <c r="C61" s="74" t="str">
        <f>VLOOKUP(B61,IF(A61="COMPOSICAO",S!$A:$D,I!$A:$D),2,FALSE)</f>
        <v>MONTADOR DE ESTRUTURAS METALICAS HORISTA</v>
      </c>
      <c r="D61" s="74"/>
      <c r="E61" s="74"/>
      <c r="F61" s="74"/>
      <c r="G61" s="16" t="str">
        <f>VLOOKUP(B61,IF(A61="COMPOSICAO",S!$A:$D,I!$A:$D),3,FALSE)</f>
        <v>H</v>
      </c>
      <c r="H61" s="29">
        <v>9.4000000000000004E-3</v>
      </c>
      <c r="I61" s="17">
        <f>IF(A61="COMPOSICAO",VLOOKUP("TOTAL - "&amp;B61,COMPOSICAO_AUX_3!$A:$J,10,FALSE),VLOOKUP(B61,I!$A:$D,4,FALSE))</f>
        <v>15.8</v>
      </c>
      <c r="J61" s="77">
        <f>TRUNC(H61*I61,2)</f>
        <v>0.14000000000000001</v>
      </c>
      <c r="K61" s="78"/>
    </row>
    <row r="62" spans="1:13" ht="15" customHeight="1" x14ac:dyDescent="0.25">
      <c r="A62" s="23" t="s">
        <v>178</v>
      </c>
      <c r="B62" s="24"/>
      <c r="C62" s="24"/>
      <c r="D62" s="24"/>
      <c r="E62" s="24"/>
      <c r="F62" s="24"/>
      <c r="G62" s="25"/>
      <c r="H62" s="26"/>
      <c r="I62" s="27"/>
      <c r="J62" s="77">
        <f>SUM(J60:K61)</f>
        <v>0.14000000000000001</v>
      </c>
      <c r="K62" s="78"/>
    </row>
    <row r="63" spans="1:13" ht="15" customHeight="1" x14ac:dyDescent="0.25">
      <c r="A63" s="3"/>
      <c r="B63" s="3"/>
      <c r="C63" s="3"/>
      <c r="D63" s="3"/>
      <c r="E63" s="3"/>
      <c r="F63" s="3"/>
      <c r="G63" s="3"/>
      <c r="H63" s="3"/>
      <c r="I63" s="3"/>
      <c r="J63" s="3"/>
      <c r="K63" s="3"/>
    </row>
    <row r="64" spans="1:13" ht="15" customHeight="1" x14ac:dyDescent="0.25">
      <c r="A64" s="10" t="s">
        <v>110</v>
      </c>
      <c r="B64" s="10" t="s">
        <v>31</v>
      </c>
      <c r="C64" s="79" t="s">
        <v>8</v>
      </c>
      <c r="D64" s="80"/>
      <c r="E64" s="80"/>
      <c r="F64" s="80"/>
      <c r="G64" s="6" t="s">
        <v>32</v>
      </c>
      <c r="H64" s="6" t="s">
        <v>111</v>
      </c>
      <c r="I64" s="6" t="s">
        <v>112</v>
      </c>
      <c r="J64" s="51" t="s">
        <v>10</v>
      </c>
      <c r="K64" s="52"/>
    </row>
    <row r="65" spans="1:13" ht="30" customHeight="1" x14ac:dyDescent="0.25">
      <c r="A65" s="6" t="s">
        <v>113</v>
      </c>
      <c r="B65" s="20">
        <v>95385</v>
      </c>
      <c r="C65" s="81" t="str">
        <f>VLOOKUP(B65,S!$A:$D,2,FALSE)</f>
        <v>CURSO DE CAPACITAÇÃO PARA TELHADISTA (ENCARGOS COMPLEMENTARES) - HORISTA</v>
      </c>
      <c r="D65" s="81"/>
      <c r="E65" s="81"/>
      <c r="F65" s="82"/>
      <c r="G65" s="6" t="str">
        <f>VLOOKUP(B65,S!$A:$D,3,FALSE)</f>
        <v>H</v>
      </c>
      <c r="H65" s="21"/>
      <c r="I65" s="21">
        <f>J67</f>
        <v>0.16</v>
      </c>
      <c r="J65" s="73"/>
      <c r="K65" s="69"/>
      <c r="L65" s="21">
        <f>VLOOKUP(B65,S!$A:$D,4,FALSE)</f>
        <v>0.16</v>
      </c>
      <c r="M65" s="6" t="str">
        <f>IF(ROUND((L65-I65),2)=0,"OK, confere com a tabela.",IF(ROUND((L65-I65),2)&lt;0,"ACIMA ("&amp;TEXT(ROUND(I65*100/L65,4),"0,0000")&amp;" %) da tabela.","ABAIXO ("&amp;TEXT(ROUND(I65*100/L65,4),"0,0000")&amp;" %) da tabela."))</f>
        <v>OK, confere com a tabela.</v>
      </c>
    </row>
    <row r="66" spans="1:13" ht="15" customHeight="1" x14ac:dyDescent="0.25">
      <c r="A66" s="16" t="s">
        <v>114</v>
      </c>
      <c r="B66" s="19">
        <v>12869</v>
      </c>
      <c r="C66" s="74" t="str">
        <f>VLOOKUP(B66,IF(A66="COMPOSICAO",S!$A:$D,I!$A:$D),2,FALSE)</f>
        <v>TELHADOR</v>
      </c>
      <c r="D66" s="74"/>
      <c r="E66" s="74"/>
      <c r="F66" s="74"/>
      <c r="G66" s="16" t="str">
        <f>VLOOKUP(B66,IF(A66="COMPOSICAO",S!$A:$D,I!$A:$D),3,FALSE)</f>
        <v>H</v>
      </c>
      <c r="H66" s="29">
        <v>9.4000000000000004E-3</v>
      </c>
      <c r="I66" s="17">
        <f>IF(A66="COMPOSICAO",VLOOKUP("TOTAL - "&amp;B66,COMPOSICAO_AUX_3!$A:$J,10,FALSE),VLOOKUP(B66,I!$A:$D,4,FALSE))</f>
        <v>17.79</v>
      </c>
      <c r="J66" s="77">
        <f>TRUNC(H66*I66,2)</f>
        <v>0.16</v>
      </c>
      <c r="K66" s="78"/>
    </row>
    <row r="67" spans="1:13" ht="15" customHeight="1" x14ac:dyDescent="0.25">
      <c r="A67" s="23" t="s">
        <v>179</v>
      </c>
      <c r="B67" s="24"/>
      <c r="C67" s="24"/>
      <c r="D67" s="24"/>
      <c r="E67" s="24"/>
      <c r="F67" s="24"/>
      <c r="G67" s="25"/>
      <c r="H67" s="26"/>
      <c r="I67" s="27"/>
      <c r="J67" s="77">
        <f>SUM(J65:K66)</f>
        <v>0.16</v>
      </c>
      <c r="K67" s="78"/>
    </row>
    <row r="68" spans="1:13" ht="15" customHeight="1" x14ac:dyDescent="0.25">
      <c r="A68" s="3"/>
      <c r="B68" s="3"/>
      <c r="C68" s="3"/>
      <c r="D68" s="3"/>
      <c r="E68" s="3"/>
      <c r="F68" s="3"/>
      <c r="G68" s="3"/>
      <c r="H68" s="3"/>
      <c r="I68" s="3"/>
      <c r="J68" s="3"/>
      <c r="K68" s="3"/>
    </row>
    <row r="69" spans="1:13" ht="15" customHeight="1" x14ac:dyDescent="0.25">
      <c r="A69" s="10" t="s">
        <v>110</v>
      </c>
      <c r="B69" s="10" t="s">
        <v>31</v>
      </c>
      <c r="C69" s="79" t="s">
        <v>8</v>
      </c>
      <c r="D69" s="80"/>
      <c r="E69" s="80"/>
      <c r="F69" s="80"/>
      <c r="G69" s="6" t="s">
        <v>32</v>
      </c>
      <c r="H69" s="6" t="s">
        <v>111</v>
      </c>
      <c r="I69" s="6" t="s">
        <v>112</v>
      </c>
      <c r="J69" s="51" t="s">
        <v>10</v>
      </c>
      <c r="K69" s="52"/>
    </row>
    <row r="70" spans="1:13" ht="45" customHeight="1" x14ac:dyDescent="0.25">
      <c r="A70" s="6" t="s">
        <v>160</v>
      </c>
      <c r="B70" s="20">
        <v>93280</v>
      </c>
      <c r="C70" s="81" t="str">
        <f>VLOOKUP(B70,S!$A:$D,2,FALSE)</f>
        <v>GUINCHO ELÉTRICO DE COLUNA, CAPACIDADE 400 KG, COM MOTO FREIO, MOTOR TRIFÁSICO DE 1,25 CV - MATERIAIS NA OPERAÇÃO. AF_03/2016</v>
      </c>
      <c r="D70" s="81"/>
      <c r="E70" s="81"/>
      <c r="F70" s="82"/>
      <c r="G70" s="6" t="str">
        <f>VLOOKUP(B70,S!$A:$D,3,FALSE)</f>
        <v>H</v>
      </c>
      <c r="H70" s="21"/>
      <c r="I70" s="21">
        <f>J72</f>
        <v>0.79</v>
      </c>
      <c r="J70" s="73"/>
      <c r="K70" s="69"/>
      <c r="L70" s="21">
        <f>VLOOKUP(B70,S!$A:$D,4,FALSE)</f>
        <v>0.79</v>
      </c>
      <c r="M70" s="6" t="str">
        <f>IF(ROUND((L70-I70),2)=0,"OK, confere com a tabela.",IF(ROUND((L70-I70),2)&lt;0,"ACIMA ("&amp;TEXT(ROUND(I70*100/L70,4),"0,0000")&amp;" %) da tabela.","ABAIXO ("&amp;TEXT(ROUND(I70*100/L70,4),"0,0000")&amp;" %) da tabela."))</f>
        <v>OK, confere com a tabela.</v>
      </c>
    </row>
    <row r="71" spans="1:13" ht="30" customHeight="1" x14ac:dyDescent="0.25">
      <c r="A71" s="16" t="s">
        <v>114</v>
      </c>
      <c r="B71" s="19">
        <v>2705</v>
      </c>
      <c r="C71" s="74" t="str">
        <f>VLOOKUP(B71,IF(A71="COMPOSICAO",S!$A:$D,I!$A:$D),2,FALSE)</f>
        <v>ENERGIA ELETRICA ATE 2000 KWH INDUSTRIAL, SEM DEMANDA</v>
      </c>
      <c r="D71" s="74"/>
      <c r="E71" s="74"/>
      <c r="F71" s="74"/>
      <c r="G71" s="16" t="str">
        <f>VLOOKUP(B71,IF(A71="COMPOSICAO",S!$A:$D,I!$A:$D),3,FALSE)</f>
        <v>KW/H</v>
      </c>
      <c r="H71" s="17">
        <v>0.78</v>
      </c>
      <c r="I71" s="17">
        <f>IF(A71="COMPOSICAO",VLOOKUP("TOTAL - "&amp;B71,COMPOSICAO_AUX_3!$A:$J,10,FALSE),VLOOKUP(B71,I!$A:$D,4,FALSE))</f>
        <v>1.02</v>
      </c>
      <c r="J71" s="77">
        <f>TRUNC(H71*I71,2)</f>
        <v>0.79</v>
      </c>
      <c r="K71" s="78"/>
    </row>
    <row r="72" spans="1:13" ht="15" customHeight="1" x14ac:dyDescent="0.25">
      <c r="A72" s="23" t="s">
        <v>180</v>
      </c>
      <c r="B72" s="24"/>
      <c r="C72" s="24"/>
      <c r="D72" s="24"/>
      <c r="E72" s="24"/>
      <c r="F72" s="24"/>
      <c r="G72" s="25"/>
      <c r="H72" s="26"/>
      <c r="I72" s="27"/>
      <c r="J72" s="77">
        <f>SUM(J70:K71)</f>
        <v>0.79</v>
      </c>
      <c r="K72" s="78"/>
    </row>
    <row r="73" spans="1:13" ht="15" customHeight="1" x14ac:dyDescent="0.25">
      <c r="A73" s="3"/>
      <c r="B73" s="3"/>
      <c r="C73" s="3"/>
      <c r="D73" s="3"/>
      <c r="E73" s="3"/>
      <c r="F73" s="3"/>
      <c r="G73" s="3"/>
      <c r="H73" s="3"/>
      <c r="I73" s="3"/>
      <c r="J73" s="3"/>
      <c r="K73" s="3"/>
    </row>
    <row r="74" spans="1:13" ht="15" customHeight="1" x14ac:dyDescent="0.25">
      <c r="A74" s="10" t="s">
        <v>110</v>
      </c>
      <c r="B74" s="10" t="s">
        <v>31</v>
      </c>
      <c r="C74" s="79" t="s">
        <v>8</v>
      </c>
      <c r="D74" s="80"/>
      <c r="E74" s="80"/>
      <c r="F74" s="80"/>
      <c r="G74" s="6" t="s">
        <v>32</v>
      </c>
      <c r="H74" s="6" t="s">
        <v>111</v>
      </c>
      <c r="I74" s="6" t="s">
        <v>112</v>
      </c>
      <c r="J74" s="51" t="s">
        <v>10</v>
      </c>
      <c r="K74" s="52"/>
    </row>
    <row r="75" spans="1:13" ht="45" customHeight="1" x14ac:dyDescent="0.25">
      <c r="A75" s="6" t="s">
        <v>160</v>
      </c>
      <c r="B75" s="20">
        <v>93279</v>
      </c>
      <c r="C75" s="81" t="str">
        <f>VLOOKUP(B75,S!$A:$D,2,FALSE)</f>
        <v>GUINCHO ELÉTRICO DE COLUNA, CAPACIDADE 400 KG, COM MOTO FREIO, MOTOR TRIFÁSICO DE 1,25 CV - MANUTENÇÃO. AF_03/2016</v>
      </c>
      <c r="D75" s="81"/>
      <c r="E75" s="81"/>
      <c r="F75" s="82"/>
      <c r="G75" s="6" t="str">
        <f>VLOOKUP(B75,S!$A:$D,3,FALSE)</f>
        <v>H</v>
      </c>
      <c r="H75" s="21"/>
      <c r="I75" s="21">
        <f>J77</f>
        <v>0.28999999999999998</v>
      </c>
      <c r="J75" s="73"/>
      <c r="K75" s="69"/>
      <c r="L75" s="21">
        <f>VLOOKUP(B75,S!$A:$D,4,FALSE)</f>
        <v>0.28999999999999998</v>
      </c>
      <c r="M75" s="6" t="str">
        <f>IF(ROUND((L75-I75),2)=0,"OK, confere com a tabela.",IF(ROUND((L75-I75),2)&lt;0,"ACIMA ("&amp;TEXT(ROUND(I75*100/L75,4),"0,0000")&amp;" %) da tabela.","ABAIXO ("&amp;TEXT(ROUND(I75*100/L75,4),"0,0000")&amp;" %) da tabela."))</f>
        <v>OK, confere com a tabela.</v>
      </c>
    </row>
    <row r="76" spans="1:13" ht="30" customHeight="1" x14ac:dyDescent="0.25">
      <c r="A76" s="16" t="s">
        <v>114</v>
      </c>
      <c r="B76" s="19">
        <v>36487</v>
      </c>
      <c r="C76" s="74" t="str">
        <f>VLOOKUP(B76,IF(A76="COMPOSICAO",S!$A:$D,I!$A:$D),2,FALSE)</f>
        <v>GUINCHO ELETRICO DE COLUNA, CAPACIDADE 400 KG, COM MOTO FREIO, MOTOR TRIFASICO DE 1,25 CV</v>
      </c>
      <c r="D76" s="74"/>
      <c r="E76" s="74"/>
      <c r="F76" s="74"/>
      <c r="G76" s="16" t="str">
        <f>VLOOKUP(B76,IF(A76="COMPOSICAO",S!$A:$D,I!$A:$D),3,FALSE)</f>
        <v>UN</v>
      </c>
      <c r="H76" s="30">
        <v>6.0000000000000002E-5</v>
      </c>
      <c r="I76" s="17">
        <f>IF(A76="COMPOSICAO",VLOOKUP("TOTAL - "&amp;B76,COMPOSICAO_AUX_3!$A:$J,10,FALSE),VLOOKUP(B76,I!$A:$D,4,FALSE))</f>
        <v>4874.92</v>
      </c>
      <c r="J76" s="77">
        <f>TRUNC(H76*I76,2)</f>
        <v>0.28999999999999998</v>
      </c>
      <c r="K76" s="78"/>
    </row>
    <row r="77" spans="1:13" ht="15" customHeight="1" x14ac:dyDescent="0.25">
      <c r="A77" s="23" t="s">
        <v>181</v>
      </c>
      <c r="B77" s="24"/>
      <c r="C77" s="24"/>
      <c r="D77" s="24"/>
      <c r="E77" s="24"/>
      <c r="F77" s="24"/>
      <c r="G77" s="25"/>
      <c r="H77" s="26"/>
      <c r="I77" s="27"/>
      <c r="J77" s="77">
        <f>SUM(J75:K76)</f>
        <v>0.28999999999999998</v>
      </c>
      <c r="K77" s="78"/>
    </row>
    <row r="78" spans="1:13" ht="15" customHeight="1" x14ac:dyDescent="0.25">
      <c r="A78" s="3"/>
      <c r="B78" s="3"/>
      <c r="C78" s="3"/>
      <c r="D78" s="3"/>
      <c r="E78" s="3"/>
      <c r="F78" s="3"/>
      <c r="G78" s="3"/>
      <c r="H78" s="3"/>
      <c r="I78" s="3"/>
      <c r="J78" s="3"/>
      <c r="K78" s="3"/>
    </row>
    <row r="79" spans="1:13" ht="15" customHeight="1" x14ac:dyDescent="0.25">
      <c r="A79" s="10" t="s">
        <v>110</v>
      </c>
      <c r="B79" s="10" t="s">
        <v>31</v>
      </c>
      <c r="C79" s="79" t="s">
        <v>8</v>
      </c>
      <c r="D79" s="80"/>
      <c r="E79" s="80"/>
      <c r="F79" s="80"/>
      <c r="G79" s="6" t="s">
        <v>32</v>
      </c>
      <c r="H79" s="6" t="s">
        <v>111</v>
      </c>
      <c r="I79" s="6" t="s">
        <v>112</v>
      </c>
      <c r="J79" s="51" t="s">
        <v>10</v>
      </c>
      <c r="K79" s="52"/>
    </row>
    <row r="80" spans="1:13" ht="45" customHeight="1" x14ac:dyDescent="0.25">
      <c r="A80" s="6" t="s">
        <v>160</v>
      </c>
      <c r="B80" s="20">
        <v>93278</v>
      </c>
      <c r="C80" s="81" t="str">
        <f>VLOOKUP(B80,S!$A:$D,2,FALSE)</f>
        <v>GUINCHO ELÉTRICO DE COLUNA, CAPACIDADE 400 KG, COM MOTO FREIO, MOTOR TRIFÁSICO DE 1,25 CV - JUROS. AF_03/2016</v>
      </c>
      <c r="D80" s="81"/>
      <c r="E80" s="81"/>
      <c r="F80" s="82"/>
      <c r="G80" s="6" t="str">
        <f>VLOOKUP(B80,S!$A:$D,3,FALSE)</f>
        <v>H</v>
      </c>
      <c r="H80" s="21"/>
      <c r="I80" s="21">
        <f>J82</f>
        <v>0.03</v>
      </c>
      <c r="J80" s="73"/>
      <c r="K80" s="69"/>
      <c r="L80" s="21">
        <f>VLOOKUP(B80,S!$A:$D,4,FALSE)</f>
        <v>0.03</v>
      </c>
      <c r="M80" s="6" t="str">
        <f>IF(ROUND((L80-I80),2)=0,"OK, confere com a tabela.",IF(ROUND((L80-I80),2)&lt;0,"ACIMA ("&amp;TEXT(ROUND(I80*100/L80,4),"0,0000")&amp;" %) da tabela.","ABAIXO ("&amp;TEXT(ROUND(I80*100/L80,4),"0,0000")&amp;" %) da tabela."))</f>
        <v>OK, confere com a tabela.</v>
      </c>
    </row>
    <row r="81" spans="1:13" ht="30" customHeight="1" x14ac:dyDescent="0.25">
      <c r="A81" s="16" t="s">
        <v>114</v>
      </c>
      <c r="B81" s="19">
        <v>36487</v>
      </c>
      <c r="C81" s="74" t="str">
        <f>VLOOKUP(B81,IF(A81="COMPOSICAO",S!$A:$D,I!$A:$D),2,FALSE)</f>
        <v>GUINCHO ELETRICO DE COLUNA, CAPACIDADE 400 KG, COM MOTO FREIO, MOTOR TRIFASICO DE 1,25 CV</v>
      </c>
      <c r="D81" s="74"/>
      <c r="E81" s="74"/>
      <c r="F81" s="74"/>
      <c r="G81" s="16" t="str">
        <f>VLOOKUP(B81,IF(A81="COMPOSICAO",S!$A:$D,I!$A:$D),3,FALSE)</f>
        <v>UN</v>
      </c>
      <c r="H81" s="31">
        <v>7.6000000000000001E-6</v>
      </c>
      <c r="I81" s="17">
        <f>IF(A81="COMPOSICAO",VLOOKUP("TOTAL - "&amp;B81,COMPOSICAO_AUX_3!$A:$J,10,FALSE),VLOOKUP(B81,I!$A:$D,4,FALSE))</f>
        <v>4874.92</v>
      </c>
      <c r="J81" s="77">
        <f>TRUNC(H81*I81,2)</f>
        <v>0.03</v>
      </c>
      <c r="K81" s="78"/>
    </row>
    <row r="82" spans="1:13" ht="15" customHeight="1" x14ac:dyDescent="0.25">
      <c r="A82" s="23" t="s">
        <v>182</v>
      </c>
      <c r="B82" s="24"/>
      <c r="C82" s="24"/>
      <c r="D82" s="24"/>
      <c r="E82" s="24"/>
      <c r="F82" s="24"/>
      <c r="G82" s="25"/>
      <c r="H82" s="26"/>
      <c r="I82" s="27"/>
      <c r="J82" s="77">
        <f>SUM(J80:K81)</f>
        <v>0.03</v>
      </c>
      <c r="K82" s="78"/>
    </row>
    <row r="83" spans="1:13" ht="15" customHeight="1" x14ac:dyDescent="0.25">
      <c r="A83" s="3"/>
      <c r="B83" s="3"/>
      <c r="C83" s="3"/>
      <c r="D83" s="3"/>
      <c r="E83" s="3"/>
      <c r="F83" s="3"/>
      <c r="G83" s="3"/>
      <c r="H83" s="3"/>
      <c r="I83" s="3"/>
      <c r="J83" s="3"/>
      <c r="K83" s="3"/>
    </row>
    <row r="84" spans="1:13" ht="15" customHeight="1" x14ac:dyDescent="0.25">
      <c r="A84" s="10" t="s">
        <v>110</v>
      </c>
      <c r="B84" s="10" t="s">
        <v>31</v>
      </c>
      <c r="C84" s="79" t="s">
        <v>8</v>
      </c>
      <c r="D84" s="80"/>
      <c r="E84" s="80"/>
      <c r="F84" s="80"/>
      <c r="G84" s="6" t="s">
        <v>32</v>
      </c>
      <c r="H84" s="6" t="s">
        <v>111</v>
      </c>
      <c r="I84" s="6" t="s">
        <v>112</v>
      </c>
      <c r="J84" s="51" t="s">
        <v>10</v>
      </c>
      <c r="K84" s="52"/>
    </row>
    <row r="85" spans="1:13" ht="45" customHeight="1" x14ac:dyDescent="0.25">
      <c r="A85" s="6" t="s">
        <v>160</v>
      </c>
      <c r="B85" s="20">
        <v>93277</v>
      </c>
      <c r="C85" s="81" t="str">
        <f>VLOOKUP(B85,S!$A:$D,2,FALSE)</f>
        <v>GUINCHO ELÉTRICO DE COLUNA, CAPACIDADE 400 KG, COM MOTO FREIO, MOTOR TRIFÁSICO DE 1,25 CV - DEPRECIAÇÃO. AF_03/2016</v>
      </c>
      <c r="D85" s="81"/>
      <c r="E85" s="81"/>
      <c r="F85" s="82"/>
      <c r="G85" s="6" t="str">
        <f>VLOOKUP(B85,S!$A:$D,3,FALSE)</f>
        <v>H</v>
      </c>
      <c r="H85" s="21"/>
      <c r="I85" s="21">
        <f>J87</f>
        <v>0.31</v>
      </c>
      <c r="J85" s="73"/>
      <c r="K85" s="69"/>
      <c r="L85" s="21">
        <f>VLOOKUP(B85,S!$A:$D,4,FALSE)</f>
        <v>0.31</v>
      </c>
      <c r="M85" s="6" t="str">
        <f>IF(ROUND((L85-I85),2)=0,"OK, confere com a tabela.",IF(ROUND((L85-I85),2)&lt;0,"ACIMA ("&amp;TEXT(ROUND(I85*100/L85,4),"0,0000")&amp;" %) da tabela.","ABAIXO ("&amp;TEXT(ROUND(I85*100/L85,4),"0,0000")&amp;" %) da tabela."))</f>
        <v>OK, confere com a tabela.</v>
      </c>
    </row>
    <row r="86" spans="1:13" ht="30" customHeight="1" x14ac:dyDescent="0.25">
      <c r="A86" s="16" t="s">
        <v>114</v>
      </c>
      <c r="B86" s="19">
        <v>36487</v>
      </c>
      <c r="C86" s="74" t="str">
        <f>VLOOKUP(B86,IF(A86="COMPOSICAO",S!$A:$D,I!$A:$D),2,FALSE)</f>
        <v>GUINCHO ELETRICO DE COLUNA, CAPACIDADE 400 KG, COM MOTO FREIO, MOTOR TRIFASICO DE 1,25 CV</v>
      </c>
      <c r="D86" s="74"/>
      <c r="E86" s="74"/>
      <c r="F86" s="74"/>
      <c r="G86" s="16" t="str">
        <f>VLOOKUP(B86,IF(A86="COMPOSICAO",S!$A:$D,I!$A:$D),3,FALSE)</f>
        <v>UN</v>
      </c>
      <c r="H86" s="32">
        <v>6.3999999999999997E-5</v>
      </c>
      <c r="I86" s="17">
        <f>IF(A86="COMPOSICAO",VLOOKUP("TOTAL - "&amp;B86,COMPOSICAO_AUX_3!$A:$J,10,FALSE),VLOOKUP(B86,I!$A:$D,4,FALSE))</f>
        <v>4874.92</v>
      </c>
      <c r="J86" s="77">
        <f>TRUNC(H86*I86,2)</f>
        <v>0.31</v>
      </c>
      <c r="K86" s="78"/>
    </row>
    <row r="87" spans="1:13" ht="15" customHeight="1" x14ac:dyDescent="0.25">
      <c r="A87" s="23" t="s">
        <v>183</v>
      </c>
      <c r="B87" s="24"/>
      <c r="C87" s="24"/>
      <c r="D87" s="24"/>
      <c r="E87" s="24"/>
      <c r="F87" s="24"/>
      <c r="G87" s="25"/>
      <c r="H87" s="26"/>
      <c r="I87" s="27"/>
      <c r="J87" s="77">
        <f>SUM(J85:K86)</f>
        <v>0.31</v>
      </c>
      <c r="K87" s="78"/>
    </row>
    <row r="88" spans="1:13" ht="15" customHeight="1" x14ac:dyDescent="0.25">
      <c r="A88" s="3"/>
      <c r="B88" s="3"/>
      <c r="C88" s="3"/>
      <c r="D88" s="3"/>
      <c r="E88" s="3"/>
      <c r="F88" s="3"/>
      <c r="G88" s="3"/>
      <c r="H88" s="3"/>
      <c r="I88" s="3"/>
      <c r="J88" s="3"/>
      <c r="K88" s="3"/>
    </row>
    <row r="89" spans="1:13" ht="15" customHeight="1" x14ac:dyDescent="0.25">
      <c r="A89" s="10" t="s">
        <v>110</v>
      </c>
      <c r="B89" s="10" t="s">
        <v>31</v>
      </c>
      <c r="C89" s="79" t="s">
        <v>8</v>
      </c>
      <c r="D89" s="80"/>
      <c r="E89" s="80"/>
      <c r="F89" s="80"/>
      <c r="G89" s="6" t="s">
        <v>32</v>
      </c>
      <c r="H89" s="6" t="s">
        <v>111</v>
      </c>
      <c r="I89" s="6" t="s">
        <v>112</v>
      </c>
      <c r="J89" s="51" t="s">
        <v>10</v>
      </c>
      <c r="K89" s="52"/>
    </row>
    <row r="90" spans="1:13" ht="30" customHeight="1" x14ac:dyDescent="0.25">
      <c r="A90" s="6" t="s">
        <v>113</v>
      </c>
      <c r="B90" s="20">
        <v>88295</v>
      </c>
      <c r="C90" s="81" t="str">
        <f>VLOOKUP(B90,S!$A:$D,2,FALSE)</f>
        <v>OPERADOR DE GUINCHO COM ENCARGOS COMPLEMENTARES</v>
      </c>
      <c r="D90" s="81"/>
      <c r="E90" s="81"/>
      <c r="F90" s="82"/>
      <c r="G90" s="6" t="str">
        <f>VLOOKUP(B90,S!$A:$D,3,FALSE)</f>
        <v>H</v>
      </c>
      <c r="H90" s="21"/>
      <c r="I90" s="21">
        <f>J99</f>
        <v>22.75</v>
      </c>
      <c r="J90" s="73"/>
      <c r="K90" s="69"/>
      <c r="L90" s="21">
        <f>VLOOKUP(B90,S!$A:$D,4,FALSE)</f>
        <v>22.75</v>
      </c>
      <c r="M90" s="6" t="str">
        <f>IF(ROUND((L90-I90),2)=0,"OK, confere com a tabela.",IF(ROUND((L90-I90),2)&lt;0,"ACIMA ("&amp;TEXT(ROUND(I90*100/L90,4),"0,0000")&amp;" %) da tabela.","ABAIXO ("&amp;TEXT(ROUND(I90*100/L90,4),"0,0000")&amp;" %) da tabela."))</f>
        <v>OK, confere com a tabela.</v>
      </c>
    </row>
    <row r="91" spans="1:13" ht="15" customHeight="1" x14ac:dyDescent="0.25">
      <c r="A91" s="16" t="s">
        <v>114</v>
      </c>
      <c r="B91" s="19">
        <v>4253</v>
      </c>
      <c r="C91" s="74" t="str">
        <f>VLOOKUP(B91,IF(A91="COMPOSICAO",S!$A:$D,I!$A:$D),2,FALSE)</f>
        <v>OPERADOR DE GUINCHO OU GUINCHEIRO</v>
      </c>
      <c r="D91" s="74"/>
      <c r="E91" s="74"/>
      <c r="F91" s="74"/>
      <c r="G91" s="16" t="str">
        <f>VLOOKUP(B91,IF(A91="COMPOSICAO",S!$A:$D,I!$A:$D),3,FALSE)</f>
        <v>H</v>
      </c>
      <c r="H91" s="17">
        <v>1</v>
      </c>
      <c r="I91" s="17">
        <f>IF(A91="COMPOSICAO",VLOOKUP("TOTAL - "&amp;B91,COMPOSICAO_AUX_3!$A:$J,10,FALSE),VLOOKUP(B91,I!$A:$D,4,FALSE))</f>
        <v>17.899999999999999</v>
      </c>
      <c r="J91" s="77">
        <f t="shared" ref="J91:J98" si="2">TRUNC(H91*I91,2)</f>
        <v>17.899999999999999</v>
      </c>
      <c r="K91" s="78"/>
    </row>
    <row r="92" spans="1:13" ht="15" customHeight="1" x14ac:dyDescent="0.25">
      <c r="A92" s="16" t="s">
        <v>114</v>
      </c>
      <c r="B92" s="19">
        <v>37370</v>
      </c>
      <c r="C92" s="74" t="str">
        <f>VLOOKUP(B92,IF(A92="COMPOSICAO",S!$A:$D,I!$A:$D),2,FALSE)</f>
        <v>ALIMENTACAO - HORISTA (COLETADO CAIXA)</v>
      </c>
      <c r="D92" s="74"/>
      <c r="E92" s="74"/>
      <c r="F92" s="74"/>
      <c r="G92" s="16" t="str">
        <f>VLOOKUP(B92,IF(A92="COMPOSICAO",S!$A:$D,I!$A:$D),3,FALSE)</f>
        <v>H</v>
      </c>
      <c r="H92" s="17">
        <v>1</v>
      </c>
      <c r="I92" s="17">
        <f>IF(A92="COMPOSICAO",VLOOKUP("TOTAL - "&amp;B92,COMPOSICAO_AUX_3!$A:$J,10,FALSE),VLOOKUP(B92,I!$A:$D,4,FALSE))</f>
        <v>2.29</v>
      </c>
      <c r="J92" s="77">
        <f t="shared" si="2"/>
        <v>2.29</v>
      </c>
      <c r="K92" s="78"/>
    </row>
    <row r="93" spans="1:13" ht="15" customHeight="1" x14ac:dyDescent="0.25">
      <c r="A93" s="16" t="s">
        <v>114</v>
      </c>
      <c r="B93" s="19">
        <v>37371</v>
      </c>
      <c r="C93" s="74" t="str">
        <f>VLOOKUP(B93,IF(A93="COMPOSICAO",S!$A:$D,I!$A:$D),2,FALSE)</f>
        <v>TRANSPORTE - HORISTA (COLETADO CAIXA)</v>
      </c>
      <c r="D93" s="74"/>
      <c r="E93" s="74"/>
      <c r="F93" s="74"/>
      <c r="G93" s="16" t="str">
        <f>VLOOKUP(B93,IF(A93="COMPOSICAO",S!$A:$D,I!$A:$D),3,FALSE)</f>
        <v>H</v>
      </c>
      <c r="H93" s="17">
        <v>1</v>
      </c>
      <c r="I93" s="17">
        <f>IF(A93="COMPOSICAO",VLOOKUP("TOTAL - "&amp;B93,COMPOSICAO_AUX_3!$A:$J,10,FALSE),VLOOKUP(B93,I!$A:$D,4,FALSE))</f>
        <v>0.69</v>
      </c>
      <c r="J93" s="77">
        <f t="shared" si="2"/>
        <v>0.69</v>
      </c>
      <c r="K93" s="78"/>
    </row>
    <row r="94" spans="1:13" ht="15" customHeight="1" x14ac:dyDescent="0.25">
      <c r="A94" s="16" t="s">
        <v>114</v>
      </c>
      <c r="B94" s="19">
        <v>37372</v>
      </c>
      <c r="C94" s="74" t="str">
        <f>VLOOKUP(B94,IF(A94="COMPOSICAO",S!$A:$D,I!$A:$D),2,FALSE)</f>
        <v>EXAMES - HORISTA (COLETADO CAIXA)</v>
      </c>
      <c r="D94" s="74"/>
      <c r="E94" s="74"/>
      <c r="F94" s="74"/>
      <c r="G94" s="16" t="str">
        <f>VLOOKUP(B94,IF(A94="COMPOSICAO",S!$A:$D,I!$A:$D),3,FALSE)</f>
        <v>H</v>
      </c>
      <c r="H94" s="17">
        <v>1</v>
      </c>
      <c r="I94" s="17">
        <f>IF(A94="COMPOSICAO",VLOOKUP("TOTAL - "&amp;B94,COMPOSICAO_AUX_3!$A:$J,10,FALSE),VLOOKUP(B94,I!$A:$D,4,FALSE))</f>
        <v>0.81</v>
      </c>
      <c r="J94" s="77">
        <f t="shared" si="2"/>
        <v>0.81</v>
      </c>
      <c r="K94" s="78"/>
    </row>
    <row r="95" spans="1:13" ht="15" customHeight="1" x14ac:dyDescent="0.25">
      <c r="A95" s="16" t="s">
        <v>114</v>
      </c>
      <c r="B95" s="19">
        <v>37373</v>
      </c>
      <c r="C95" s="74" t="str">
        <f>VLOOKUP(B95,IF(A95="COMPOSICAO",S!$A:$D,I!$A:$D),2,FALSE)</f>
        <v>SEGURO - HORISTA (COLETADO CAIXA)</v>
      </c>
      <c r="D95" s="74"/>
      <c r="E95" s="74"/>
      <c r="F95" s="74"/>
      <c r="G95" s="16" t="str">
        <f>VLOOKUP(B95,IF(A95="COMPOSICAO",S!$A:$D,I!$A:$D),3,FALSE)</f>
        <v>H</v>
      </c>
      <c r="H95" s="17">
        <v>1</v>
      </c>
      <c r="I95" s="17">
        <f>IF(A95="COMPOSICAO",VLOOKUP("TOTAL - "&amp;B95,COMPOSICAO_AUX_3!$A:$J,10,FALSE),VLOOKUP(B95,I!$A:$D,4,FALSE))</f>
        <v>0.06</v>
      </c>
      <c r="J95" s="77">
        <f t="shared" si="2"/>
        <v>0.06</v>
      </c>
      <c r="K95" s="78"/>
    </row>
    <row r="96" spans="1:13" ht="45" customHeight="1" x14ac:dyDescent="0.25">
      <c r="A96" s="16" t="s">
        <v>114</v>
      </c>
      <c r="B96" s="19">
        <v>43464</v>
      </c>
      <c r="C96" s="74" t="str">
        <f>VLOOKUP(B96,IF(A96="COMPOSICAO",S!$A:$D,I!$A:$D),2,FALSE)</f>
        <v>FERRAMENTAS - FAMILIA OPERADOR ESCAVADEIRA - HORISTA (ENCARGOS COMPLEMENTARES - COLETADO CAIXA)</v>
      </c>
      <c r="D96" s="74"/>
      <c r="E96" s="74"/>
      <c r="F96" s="74"/>
      <c r="G96" s="16" t="str">
        <f>VLOOKUP(B96,IF(A96="COMPOSICAO",S!$A:$D,I!$A:$D),3,FALSE)</f>
        <v>H</v>
      </c>
      <c r="H96" s="17">
        <v>1</v>
      </c>
      <c r="I96" s="17">
        <f>IF(A96="COMPOSICAO",VLOOKUP("TOTAL - "&amp;B96,COMPOSICAO_AUX_3!$A:$J,10,FALSE),VLOOKUP(B96,I!$A:$D,4,FALSE))</f>
        <v>0.01</v>
      </c>
      <c r="J96" s="77">
        <f t="shared" si="2"/>
        <v>0.01</v>
      </c>
      <c r="K96" s="78"/>
    </row>
    <row r="97" spans="1:13" ht="30" customHeight="1" x14ac:dyDescent="0.25">
      <c r="A97" s="16" t="s">
        <v>114</v>
      </c>
      <c r="B97" s="19">
        <v>43488</v>
      </c>
      <c r="C97" s="74" t="str">
        <f>VLOOKUP(B97,IF(A97="COMPOSICAO",S!$A:$D,I!$A:$D),2,FALSE)</f>
        <v>EPI - FAMILIA OPERADOR ESCAVADEIRA - HORISTA (ENCARGOS COMPLEMENTARES - COLETADO CAIXA)</v>
      </c>
      <c r="D97" s="74"/>
      <c r="E97" s="74"/>
      <c r="F97" s="74"/>
      <c r="G97" s="16" t="str">
        <f>VLOOKUP(B97,IF(A97="COMPOSICAO",S!$A:$D,I!$A:$D),3,FALSE)</f>
        <v>H</v>
      </c>
      <c r="H97" s="17">
        <v>1</v>
      </c>
      <c r="I97" s="17">
        <f>IF(A97="COMPOSICAO",VLOOKUP("TOTAL - "&amp;B97,COMPOSICAO_AUX_3!$A:$J,10,FALSE),VLOOKUP(B97,I!$A:$D,4,FALSE))</f>
        <v>0.76</v>
      </c>
      <c r="J97" s="77">
        <f t="shared" si="2"/>
        <v>0.76</v>
      </c>
      <c r="K97" s="78"/>
    </row>
    <row r="98" spans="1:13" ht="30" customHeight="1" x14ac:dyDescent="0.25">
      <c r="A98" s="16" t="s">
        <v>115</v>
      </c>
      <c r="B98" s="19">
        <v>95358</v>
      </c>
      <c r="C98" s="74" t="str">
        <f>VLOOKUP(B98,IF(A98="COMPOSICAO",S!$A:$D,I!$A:$D),2,FALSE)</f>
        <v>CURSO DE CAPACITAÇÃO PARA OPERADOR DE GUINCHO (ENCARGOS COMPLEMENTARES) - HORISTA</v>
      </c>
      <c r="D98" s="74"/>
      <c r="E98" s="74"/>
      <c r="F98" s="74"/>
      <c r="G98" s="16" t="str">
        <f>VLOOKUP(B98,IF(A98="COMPOSICAO",S!$A:$D,I!$A:$D),3,FALSE)</f>
        <v>H</v>
      </c>
      <c r="H98" s="17">
        <v>1</v>
      </c>
      <c r="I98" s="17">
        <f>IF(A98="COMPOSICAO",VLOOKUP("TOTAL - "&amp;B98,COMPOSICAO_AUX_3!$A:$J,10,FALSE),VLOOKUP(B98,I!$A:$D,4,FALSE))</f>
        <v>0.23</v>
      </c>
      <c r="J98" s="77">
        <f t="shared" si="2"/>
        <v>0.23</v>
      </c>
      <c r="K98" s="78"/>
    </row>
    <row r="99" spans="1:13" ht="15" customHeight="1" x14ac:dyDescent="0.25">
      <c r="A99" s="23" t="s">
        <v>184</v>
      </c>
      <c r="B99" s="24"/>
      <c r="C99" s="24"/>
      <c r="D99" s="24"/>
      <c r="E99" s="24"/>
      <c r="F99" s="24"/>
      <c r="G99" s="25"/>
      <c r="H99" s="26"/>
      <c r="I99" s="27"/>
      <c r="J99" s="77">
        <f>SUM(J90:K98)</f>
        <v>22.75</v>
      </c>
      <c r="K99" s="78"/>
    </row>
    <row r="100" spans="1:13" ht="15" customHeight="1" x14ac:dyDescent="0.25">
      <c r="A100" s="3"/>
      <c r="B100" s="3"/>
      <c r="C100" s="3"/>
      <c r="D100" s="3"/>
      <c r="E100" s="3"/>
      <c r="F100" s="3"/>
      <c r="G100" s="3"/>
      <c r="H100" s="3"/>
      <c r="I100" s="3"/>
      <c r="J100" s="3"/>
      <c r="K100" s="3"/>
    </row>
    <row r="101" spans="1:13" ht="15" customHeight="1" x14ac:dyDescent="0.25">
      <c r="A101" s="10" t="s">
        <v>110</v>
      </c>
      <c r="B101" s="10" t="s">
        <v>31</v>
      </c>
      <c r="C101" s="79" t="s">
        <v>8</v>
      </c>
      <c r="D101" s="80"/>
      <c r="E101" s="80"/>
      <c r="F101" s="80"/>
      <c r="G101" s="6" t="s">
        <v>32</v>
      </c>
      <c r="H101" s="6" t="s">
        <v>111</v>
      </c>
      <c r="I101" s="6" t="s">
        <v>112</v>
      </c>
      <c r="J101" s="51" t="s">
        <v>10</v>
      </c>
      <c r="K101" s="52"/>
    </row>
    <row r="102" spans="1:13" ht="30" customHeight="1" x14ac:dyDescent="0.25">
      <c r="A102" s="6" t="s">
        <v>113</v>
      </c>
      <c r="B102" s="20">
        <v>95372</v>
      </c>
      <c r="C102" s="81" t="str">
        <f>VLOOKUP(B102,S!$A:$D,2,FALSE)</f>
        <v>CURSO DE CAPACITAÇÃO PARA PINTOR (ENCARGOS COMPLEMENTARES) - HORISTA</v>
      </c>
      <c r="D102" s="81"/>
      <c r="E102" s="81"/>
      <c r="F102" s="82"/>
      <c r="G102" s="6" t="str">
        <f>VLOOKUP(B102,S!$A:$D,3,FALSE)</f>
        <v>H</v>
      </c>
      <c r="H102" s="21"/>
      <c r="I102" s="21">
        <f>J104</f>
        <v>0.17</v>
      </c>
      <c r="J102" s="73"/>
      <c r="K102" s="69"/>
      <c r="L102" s="21">
        <f>VLOOKUP(B102,S!$A:$D,4,FALSE)</f>
        <v>0.17</v>
      </c>
      <c r="M102" s="6" t="str">
        <f>IF(ROUND((L102-I102),2)=0,"OK, confere com a tabela.",IF(ROUND((L102-I102),2)&lt;0,"ACIMA ("&amp;TEXT(ROUND(I102*100/L102,4),"0,0000")&amp;" %) da tabela.","ABAIXO ("&amp;TEXT(ROUND(I102*100/L102,4),"0,0000")&amp;" %) da tabela."))</f>
        <v>OK, confere com a tabela.</v>
      </c>
    </row>
    <row r="103" spans="1:13" ht="15" customHeight="1" x14ac:dyDescent="0.25">
      <c r="A103" s="16" t="s">
        <v>114</v>
      </c>
      <c r="B103" s="19">
        <v>4783</v>
      </c>
      <c r="C103" s="74" t="str">
        <f>VLOOKUP(B103,IF(A103="COMPOSICAO",S!$A:$D,I!$A:$D),2,FALSE)</f>
        <v>PINTOR</v>
      </c>
      <c r="D103" s="74"/>
      <c r="E103" s="74"/>
      <c r="F103" s="74"/>
      <c r="G103" s="16" t="str">
        <f>VLOOKUP(B103,IF(A103="COMPOSICAO",S!$A:$D,I!$A:$D),3,FALSE)</f>
        <v>H</v>
      </c>
      <c r="H103" s="28">
        <v>1.2E-2</v>
      </c>
      <c r="I103" s="17">
        <f>IF(A103="COMPOSICAO",VLOOKUP("TOTAL - "&amp;B103,COMPOSICAO_AUX_3!$A:$J,10,FALSE),VLOOKUP(B103,I!$A:$D,4,FALSE))</f>
        <v>14.91</v>
      </c>
      <c r="J103" s="77">
        <f>TRUNC(H103*I103,2)</f>
        <v>0.17</v>
      </c>
      <c r="K103" s="78"/>
    </row>
    <row r="104" spans="1:13" ht="15" customHeight="1" x14ac:dyDescent="0.25">
      <c r="A104" s="23" t="s">
        <v>185</v>
      </c>
      <c r="B104" s="24"/>
      <c r="C104" s="24"/>
      <c r="D104" s="24"/>
      <c r="E104" s="24"/>
      <c r="F104" s="24"/>
      <c r="G104" s="25"/>
      <c r="H104" s="26"/>
      <c r="I104" s="27"/>
      <c r="J104" s="77">
        <f>SUM(J102:K103)</f>
        <v>0.17</v>
      </c>
      <c r="K104" s="78"/>
    </row>
    <row r="105" spans="1:13" ht="15" customHeight="1" x14ac:dyDescent="0.25">
      <c r="A105" s="3"/>
      <c r="B105" s="3"/>
      <c r="C105" s="3"/>
      <c r="D105" s="3"/>
      <c r="E105" s="3"/>
      <c r="F105" s="3"/>
      <c r="G105" s="3"/>
      <c r="H105" s="3"/>
      <c r="I105" s="3"/>
      <c r="J105" s="3"/>
      <c r="K105" s="3"/>
    </row>
    <row r="106" spans="1:13" ht="15" customHeight="1" x14ac:dyDescent="0.25">
      <c r="A106" s="10" t="s">
        <v>110</v>
      </c>
      <c r="B106" s="10" t="s">
        <v>31</v>
      </c>
      <c r="C106" s="79" t="s">
        <v>8</v>
      </c>
      <c r="D106" s="80"/>
      <c r="E106" s="80"/>
      <c r="F106" s="80"/>
      <c r="G106" s="6" t="s">
        <v>32</v>
      </c>
      <c r="H106" s="6" t="s">
        <v>111</v>
      </c>
      <c r="I106" s="6" t="s">
        <v>112</v>
      </c>
      <c r="J106" s="51" t="s">
        <v>10</v>
      </c>
      <c r="K106" s="52"/>
    </row>
    <row r="107" spans="1:13" ht="30" customHeight="1" x14ac:dyDescent="0.25">
      <c r="A107" s="6" t="s">
        <v>113</v>
      </c>
      <c r="B107" s="20">
        <v>95332</v>
      </c>
      <c r="C107" s="81" t="str">
        <f>VLOOKUP(B107,S!$A:$D,2,FALSE)</f>
        <v>CURSO DE CAPACITAÇÃO PARA ELETRICISTA (ENCARGOS COMPLEMENTARES) - HORISTA</v>
      </c>
      <c r="D107" s="81"/>
      <c r="E107" s="81"/>
      <c r="F107" s="82"/>
      <c r="G107" s="6" t="str">
        <f>VLOOKUP(B107,S!$A:$D,3,FALSE)</f>
        <v>H</v>
      </c>
      <c r="H107" s="21"/>
      <c r="I107" s="21">
        <f>J109</f>
        <v>0.45</v>
      </c>
      <c r="J107" s="73"/>
      <c r="K107" s="69"/>
      <c r="L107" s="21">
        <f>VLOOKUP(B107,S!$A:$D,4,FALSE)</f>
        <v>0.45</v>
      </c>
      <c r="M107" s="6" t="str">
        <f>IF(ROUND((L107-I107),2)=0,"OK, confere com a tabela.",IF(ROUND((L107-I107),2)&lt;0,"ACIMA ("&amp;TEXT(ROUND(I107*100/L107,4),"0,0000")&amp;" %) da tabela.","ABAIXO ("&amp;TEXT(ROUND(I107*100/L107,4),"0,0000")&amp;" %) da tabela."))</f>
        <v>OK, confere com a tabela.</v>
      </c>
    </row>
    <row r="108" spans="1:13" ht="15" customHeight="1" x14ac:dyDescent="0.25">
      <c r="A108" s="16" t="s">
        <v>114</v>
      </c>
      <c r="B108" s="19">
        <v>2436</v>
      </c>
      <c r="C108" s="74" t="str">
        <f>VLOOKUP(B108,IF(A108="COMPOSICAO",S!$A:$D,I!$A:$D),2,FALSE)</f>
        <v>ELETRICISTA</v>
      </c>
      <c r="D108" s="74"/>
      <c r="E108" s="74"/>
      <c r="F108" s="74"/>
      <c r="G108" s="16" t="str">
        <f>VLOOKUP(B108,IF(A108="COMPOSICAO",S!$A:$D,I!$A:$D),3,FALSE)</f>
        <v>H</v>
      </c>
      <c r="H108" s="29">
        <v>3.0200000000000001E-2</v>
      </c>
      <c r="I108" s="17">
        <f>IF(A108="COMPOSICAO",VLOOKUP("TOTAL - "&amp;B108,COMPOSICAO_AUX_3!$A:$J,10,FALSE),VLOOKUP(B108,I!$A:$D,4,FALSE))</f>
        <v>14.91</v>
      </c>
      <c r="J108" s="77">
        <f>TRUNC(H108*I108,2)</f>
        <v>0.45</v>
      </c>
      <c r="K108" s="78"/>
    </row>
    <row r="109" spans="1:13" ht="15" customHeight="1" x14ac:dyDescent="0.25">
      <c r="A109" s="23" t="s">
        <v>186</v>
      </c>
      <c r="B109" s="24"/>
      <c r="C109" s="24"/>
      <c r="D109" s="24"/>
      <c r="E109" s="24"/>
      <c r="F109" s="24"/>
      <c r="G109" s="25"/>
      <c r="H109" s="26"/>
      <c r="I109" s="27"/>
      <c r="J109" s="77">
        <f>SUM(J107:K108)</f>
        <v>0.45</v>
      </c>
      <c r="K109" s="78"/>
    </row>
    <row r="110" spans="1:13" ht="15" customHeight="1" x14ac:dyDescent="0.25">
      <c r="A110" s="3"/>
      <c r="B110" s="3"/>
      <c r="C110" s="3"/>
      <c r="D110" s="3"/>
      <c r="E110" s="3"/>
      <c r="F110" s="3"/>
      <c r="G110" s="3"/>
      <c r="H110" s="3"/>
      <c r="I110" s="3"/>
      <c r="J110" s="3"/>
      <c r="K110" s="3"/>
    </row>
    <row r="111" spans="1:13" ht="15" customHeight="1" x14ac:dyDescent="0.25">
      <c r="A111" s="10" t="s">
        <v>110</v>
      </c>
      <c r="B111" s="10" t="s">
        <v>31</v>
      </c>
      <c r="C111" s="79" t="s">
        <v>8</v>
      </c>
      <c r="D111" s="80"/>
      <c r="E111" s="80"/>
      <c r="F111" s="80"/>
      <c r="G111" s="6" t="s">
        <v>32</v>
      </c>
      <c r="H111" s="6" t="s">
        <v>111</v>
      </c>
      <c r="I111" s="6" t="s">
        <v>112</v>
      </c>
      <c r="J111" s="51" t="s">
        <v>10</v>
      </c>
      <c r="K111" s="52"/>
    </row>
    <row r="112" spans="1:13" ht="30" customHeight="1" x14ac:dyDescent="0.25">
      <c r="A112" s="6" t="s">
        <v>113</v>
      </c>
      <c r="B112" s="20">
        <v>88248</v>
      </c>
      <c r="C112" s="81" t="str">
        <f>VLOOKUP(B112,S!$A:$D,2,FALSE)</f>
        <v>AUXILIAR DE ENCANADOR OU BOMBEIRO HIDRÁULICO COM ENCARGOS COMPLEMENTARES</v>
      </c>
      <c r="D112" s="81"/>
      <c r="E112" s="81"/>
      <c r="F112" s="82"/>
      <c r="G112" s="6" t="str">
        <f>VLOOKUP(B112,S!$A:$D,3,FALSE)</f>
        <v>H</v>
      </c>
      <c r="H112" s="21"/>
      <c r="I112" s="21">
        <f>J121</f>
        <v>15.83</v>
      </c>
      <c r="J112" s="73"/>
      <c r="K112" s="69"/>
      <c r="L112" s="21">
        <f>VLOOKUP(B112,S!$A:$D,4,FALSE)</f>
        <v>15.83</v>
      </c>
      <c r="M112" s="6" t="str">
        <f>IF(ROUND((L112-I112),2)=0,"OK, confere com a tabela.",IF(ROUND((L112-I112),2)&lt;0,"ACIMA ("&amp;TEXT(ROUND(I112*100/L112,4),"0,0000")&amp;" %) da tabela.","ABAIXO ("&amp;TEXT(ROUND(I112*100/L112,4),"0,0000")&amp;" %) da tabela."))</f>
        <v>OK, confere com a tabela.</v>
      </c>
    </row>
    <row r="113" spans="1:13" ht="15" customHeight="1" x14ac:dyDescent="0.25">
      <c r="A113" s="16" t="s">
        <v>114</v>
      </c>
      <c r="B113" s="19">
        <v>246</v>
      </c>
      <c r="C113" s="74" t="str">
        <f>VLOOKUP(B113,IF(A113="COMPOSICAO",S!$A:$D,I!$A:$D),2,FALSE)</f>
        <v>AUXILIAR DE ENCANADOR OU BOMBEIRO HIDRAULICO</v>
      </c>
      <c r="D113" s="74"/>
      <c r="E113" s="74"/>
      <c r="F113" s="74"/>
      <c r="G113" s="16" t="str">
        <f>VLOOKUP(B113,IF(A113="COMPOSICAO",S!$A:$D,I!$A:$D),3,FALSE)</f>
        <v>H</v>
      </c>
      <c r="H113" s="17">
        <v>1</v>
      </c>
      <c r="I113" s="17">
        <f>IF(A113="COMPOSICAO",VLOOKUP("TOTAL - "&amp;B113,COMPOSICAO_AUX_3!$A:$J,10,FALSE),VLOOKUP(B113,I!$A:$D,4,FALSE))</f>
        <v>10.57</v>
      </c>
      <c r="J113" s="77">
        <f t="shared" ref="J113:J120" si="3">TRUNC(H113*I113,2)</f>
        <v>10.57</v>
      </c>
      <c r="K113" s="78"/>
    </row>
    <row r="114" spans="1:13" ht="15" customHeight="1" x14ac:dyDescent="0.25">
      <c r="A114" s="16" t="s">
        <v>114</v>
      </c>
      <c r="B114" s="19">
        <v>37370</v>
      </c>
      <c r="C114" s="74" t="str">
        <f>VLOOKUP(B114,IF(A114="COMPOSICAO",S!$A:$D,I!$A:$D),2,FALSE)</f>
        <v>ALIMENTACAO - HORISTA (COLETADO CAIXA)</v>
      </c>
      <c r="D114" s="74"/>
      <c r="E114" s="74"/>
      <c r="F114" s="74"/>
      <c r="G114" s="16" t="str">
        <f>VLOOKUP(B114,IF(A114="COMPOSICAO",S!$A:$D,I!$A:$D),3,FALSE)</f>
        <v>H</v>
      </c>
      <c r="H114" s="17">
        <v>1</v>
      </c>
      <c r="I114" s="17">
        <f>IF(A114="COMPOSICAO",VLOOKUP("TOTAL - "&amp;B114,COMPOSICAO_AUX_3!$A:$J,10,FALSE),VLOOKUP(B114,I!$A:$D,4,FALSE))</f>
        <v>2.29</v>
      </c>
      <c r="J114" s="77">
        <f t="shared" si="3"/>
        <v>2.29</v>
      </c>
      <c r="K114" s="78"/>
    </row>
    <row r="115" spans="1:13" ht="15" customHeight="1" x14ac:dyDescent="0.25">
      <c r="A115" s="16" t="s">
        <v>114</v>
      </c>
      <c r="B115" s="19">
        <v>37371</v>
      </c>
      <c r="C115" s="74" t="str">
        <f>VLOOKUP(B115,IF(A115="COMPOSICAO",S!$A:$D,I!$A:$D),2,FALSE)</f>
        <v>TRANSPORTE - HORISTA (COLETADO CAIXA)</v>
      </c>
      <c r="D115" s="74"/>
      <c r="E115" s="74"/>
      <c r="F115" s="74"/>
      <c r="G115" s="16" t="str">
        <f>VLOOKUP(B115,IF(A115="COMPOSICAO",S!$A:$D,I!$A:$D),3,FALSE)</f>
        <v>H</v>
      </c>
      <c r="H115" s="17">
        <v>1</v>
      </c>
      <c r="I115" s="17">
        <f>IF(A115="COMPOSICAO",VLOOKUP("TOTAL - "&amp;B115,COMPOSICAO_AUX_3!$A:$J,10,FALSE),VLOOKUP(B115,I!$A:$D,4,FALSE))</f>
        <v>0.69</v>
      </c>
      <c r="J115" s="77">
        <f t="shared" si="3"/>
        <v>0.69</v>
      </c>
      <c r="K115" s="78"/>
    </row>
    <row r="116" spans="1:13" ht="15" customHeight="1" x14ac:dyDescent="0.25">
      <c r="A116" s="16" t="s">
        <v>114</v>
      </c>
      <c r="B116" s="19">
        <v>37372</v>
      </c>
      <c r="C116" s="74" t="str">
        <f>VLOOKUP(B116,IF(A116="COMPOSICAO",S!$A:$D,I!$A:$D),2,FALSE)</f>
        <v>EXAMES - HORISTA (COLETADO CAIXA)</v>
      </c>
      <c r="D116" s="74"/>
      <c r="E116" s="74"/>
      <c r="F116" s="74"/>
      <c r="G116" s="16" t="str">
        <f>VLOOKUP(B116,IF(A116="COMPOSICAO",S!$A:$D,I!$A:$D),3,FALSE)</f>
        <v>H</v>
      </c>
      <c r="H116" s="17">
        <v>1</v>
      </c>
      <c r="I116" s="17">
        <f>IF(A116="COMPOSICAO",VLOOKUP("TOTAL - "&amp;B116,COMPOSICAO_AUX_3!$A:$J,10,FALSE),VLOOKUP(B116,I!$A:$D,4,FALSE))</f>
        <v>0.81</v>
      </c>
      <c r="J116" s="77">
        <f t="shared" si="3"/>
        <v>0.81</v>
      </c>
      <c r="K116" s="78"/>
    </row>
    <row r="117" spans="1:13" ht="15" customHeight="1" x14ac:dyDescent="0.25">
      <c r="A117" s="16" t="s">
        <v>114</v>
      </c>
      <c r="B117" s="19">
        <v>37373</v>
      </c>
      <c r="C117" s="74" t="str">
        <f>VLOOKUP(B117,IF(A117="COMPOSICAO",S!$A:$D,I!$A:$D),2,FALSE)</f>
        <v>SEGURO - HORISTA (COLETADO CAIXA)</v>
      </c>
      <c r="D117" s="74"/>
      <c r="E117" s="74"/>
      <c r="F117" s="74"/>
      <c r="G117" s="16" t="str">
        <f>VLOOKUP(B117,IF(A117="COMPOSICAO",S!$A:$D,I!$A:$D),3,FALSE)</f>
        <v>H</v>
      </c>
      <c r="H117" s="17">
        <v>1</v>
      </c>
      <c r="I117" s="17">
        <f>IF(A117="COMPOSICAO",VLOOKUP("TOTAL - "&amp;B117,COMPOSICAO_AUX_3!$A:$J,10,FALSE),VLOOKUP(B117,I!$A:$D,4,FALSE))</f>
        <v>0.06</v>
      </c>
      <c r="J117" s="77">
        <f t="shared" si="3"/>
        <v>0.06</v>
      </c>
      <c r="K117" s="78"/>
    </row>
    <row r="118" spans="1:13" ht="30" customHeight="1" x14ac:dyDescent="0.25">
      <c r="A118" s="16" t="s">
        <v>114</v>
      </c>
      <c r="B118" s="19">
        <v>43461</v>
      </c>
      <c r="C118" s="74" t="str">
        <f>VLOOKUP(B118,IF(A118="COMPOSICAO",S!$A:$D,I!$A:$D),2,FALSE)</f>
        <v>FERRAMENTAS - FAMILIA ENCANADOR - HORISTA (ENCARGOS COMPLEMENTARES - COLETADO CAIXA)</v>
      </c>
      <c r="D118" s="74"/>
      <c r="E118" s="74"/>
      <c r="F118" s="74"/>
      <c r="G118" s="16" t="str">
        <f>VLOOKUP(B118,IF(A118="COMPOSICAO",S!$A:$D,I!$A:$D),3,FALSE)</f>
        <v>H</v>
      </c>
      <c r="H118" s="17">
        <v>1</v>
      </c>
      <c r="I118" s="17">
        <f>IF(A118="COMPOSICAO",VLOOKUP("TOTAL - "&amp;B118,COMPOSICAO_AUX_3!$A:$J,10,FALSE),VLOOKUP(B118,I!$A:$D,4,FALSE))</f>
        <v>0.32</v>
      </c>
      <c r="J118" s="77">
        <f t="shared" si="3"/>
        <v>0.32</v>
      </c>
      <c r="K118" s="78"/>
    </row>
    <row r="119" spans="1:13" ht="30" customHeight="1" x14ac:dyDescent="0.25">
      <c r="A119" s="16" t="s">
        <v>114</v>
      </c>
      <c r="B119" s="19">
        <v>43485</v>
      </c>
      <c r="C119" s="74" t="str">
        <f>VLOOKUP(B119,IF(A119="COMPOSICAO",S!$A:$D,I!$A:$D),2,FALSE)</f>
        <v>EPI - FAMILIA ENCANADOR - HORISTA (ENCARGOS COMPLEMENTARES - COLETADO CAIXA)</v>
      </c>
      <c r="D119" s="74"/>
      <c r="E119" s="74"/>
      <c r="F119" s="74"/>
      <c r="G119" s="16" t="str">
        <f>VLOOKUP(B119,IF(A119="COMPOSICAO",S!$A:$D,I!$A:$D),3,FALSE)</f>
        <v>H</v>
      </c>
      <c r="H119" s="17">
        <v>1</v>
      </c>
      <c r="I119" s="17">
        <f>IF(A119="COMPOSICAO",VLOOKUP("TOTAL - "&amp;B119,COMPOSICAO_AUX_3!$A:$J,10,FALSE),VLOOKUP(B119,I!$A:$D,4,FALSE))</f>
        <v>0.94</v>
      </c>
      <c r="J119" s="77">
        <f t="shared" si="3"/>
        <v>0.94</v>
      </c>
      <c r="K119" s="78"/>
    </row>
    <row r="120" spans="1:13" ht="45" customHeight="1" x14ac:dyDescent="0.25">
      <c r="A120" s="16" t="s">
        <v>115</v>
      </c>
      <c r="B120" s="19">
        <v>95317</v>
      </c>
      <c r="C120" s="74" t="str">
        <f>VLOOKUP(B120,IF(A120="COMPOSICAO",S!$A:$D,I!$A:$D),2,FALSE)</f>
        <v>CURSO DE CAPACITAÇÃO PARA AUXILIAR DE ENCANADOR OU BOMBEIRO HIDRÁULICO (ENCARGOS COMPLEMENTARES) - HORISTA</v>
      </c>
      <c r="D120" s="74"/>
      <c r="E120" s="74"/>
      <c r="F120" s="74"/>
      <c r="G120" s="16" t="str">
        <f>VLOOKUP(B120,IF(A120="COMPOSICAO",S!$A:$D,I!$A:$D),3,FALSE)</f>
        <v>H</v>
      </c>
      <c r="H120" s="17">
        <v>1</v>
      </c>
      <c r="I120" s="17">
        <f>IF(A120="COMPOSICAO",VLOOKUP("TOTAL - "&amp;B120,COMPOSICAO_AUX_3!$A:$J,10,FALSE),VLOOKUP(B120,I!$A:$D,4,FALSE))</f>
        <v>0.15</v>
      </c>
      <c r="J120" s="77">
        <f t="shared" si="3"/>
        <v>0.15</v>
      </c>
      <c r="K120" s="78"/>
    </row>
    <row r="121" spans="1:13" ht="15" customHeight="1" x14ac:dyDescent="0.25">
      <c r="A121" s="23" t="s">
        <v>187</v>
      </c>
      <c r="B121" s="24"/>
      <c r="C121" s="24"/>
      <c r="D121" s="24"/>
      <c r="E121" s="24"/>
      <c r="F121" s="24"/>
      <c r="G121" s="25"/>
      <c r="H121" s="26"/>
      <c r="I121" s="27"/>
      <c r="J121" s="77">
        <f>SUM(J112:K120)</f>
        <v>15.83</v>
      </c>
      <c r="K121" s="78"/>
    </row>
    <row r="122" spans="1:13" ht="15" customHeight="1" x14ac:dyDescent="0.25">
      <c r="A122" s="3"/>
      <c r="B122" s="3"/>
      <c r="C122" s="3"/>
      <c r="D122" s="3"/>
      <c r="E122" s="3"/>
      <c r="F122" s="3"/>
      <c r="G122" s="3"/>
      <c r="H122" s="3"/>
      <c r="I122" s="3"/>
      <c r="J122" s="3"/>
      <c r="K122" s="3"/>
    </row>
    <row r="123" spans="1:13" ht="15" customHeight="1" x14ac:dyDescent="0.25">
      <c r="A123" s="10" t="s">
        <v>110</v>
      </c>
      <c r="B123" s="10" t="s">
        <v>31</v>
      </c>
      <c r="C123" s="79" t="s">
        <v>8</v>
      </c>
      <c r="D123" s="80"/>
      <c r="E123" s="80"/>
      <c r="F123" s="80"/>
      <c r="G123" s="6" t="s">
        <v>32</v>
      </c>
      <c r="H123" s="6" t="s">
        <v>111</v>
      </c>
      <c r="I123" s="6" t="s">
        <v>112</v>
      </c>
      <c r="J123" s="51" t="s">
        <v>10</v>
      </c>
      <c r="K123" s="52"/>
    </row>
    <row r="124" spans="1:13" ht="30" customHeight="1" x14ac:dyDescent="0.25">
      <c r="A124" s="6" t="s">
        <v>113</v>
      </c>
      <c r="B124" s="20">
        <v>88267</v>
      </c>
      <c r="C124" s="81" t="str">
        <f>VLOOKUP(B124,S!$A:$D,2,FALSE)</f>
        <v>ENCANADOR OU BOMBEIRO HIDRÁULICO COM ENCARGOS COMPLEMENTARES</v>
      </c>
      <c r="D124" s="81"/>
      <c r="E124" s="81"/>
      <c r="F124" s="82"/>
      <c r="G124" s="6" t="str">
        <f>VLOOKUP(B124,S!$A:$D,3,FALSE)</f>
        <v>H</v>
      </c>
      <c r="H124" s="21"/>
      <c r="I124" s="21">
        <f>J133</f>
        <v>20.23</v>
      </c>
      <c r="J124" s="73"/>
      <c r="K124" s="69"/>
      <c r="L124" s="21">
        <f>VLOOKUP(B124,S!$A:$D,4,FALSE)</f>
        <v>20.23</v>
      </c>
      <c r="M124" s="6" t="str">
        <f>IF(ROUND((L124-I124),2)=0,"OK, confere com a tabela.",IF(ROUND((L124-I124),2)&lt;0,"ACIMA ("&amp;TEXT(ROUND(I124*100/L124,4),"0,0000")&amp;" %) da tabela.","ABAIXO ("&amp;TEXT(ROUND(I124*100/L124,4),"0,0000")&amp;" %) da tabela."))</f>
        <v>OK, confere com a tabela.</v>
      </c>
    </row>
    <row r="125" spans="1:13" ht="15" customHeight="1" x14ac:dyDescent="0.25">
      <c r="A125" s="16" t="s">
        <v>114</v>
      </c>
      <c r="B125" s="19">
        <v>2696</v>
      </c>
      <c r="C125" s="74" t="str">
        <f>VLOOKUP(B125,IF(A125="COMPOSICAO",S!$A:$D,I!$A:$D),2,FALSE)</f>
        <v>ENCANADOR OU BOMBEIRO HIDRAULICO</v>
      </c>
      <c r="D125" s="74"/>
      <c r="E125" s="74"/>
      <c r="F125" s="74"/>
      <c r="G125" s="16" t="str">
        <f>VLOOKUP(B125,IF(A125="COMPOSICAO",S!$A:$D,I!$A:$D),3,FALSE)</f>
        <v>H</v>
      </c>
      <c r="H125" s="17">
        <v>1</v>
      </c>
      <c r="I125" s="17">
        <f>IF(A125="COMPOSICAO",VLOOKUP("TOTAL - "&amp;B125,COMPOSICAO_AUX_3!$A:$J,10,FALSE),VLOOKUP(B125,I!$A:$D,4,FALSE))</f>
        <v>14.91</v>
      </c>
      <c r="J125" s="77">
        <f t="shared" ref="J125:J132" si="4">TRUNC(H125*I125,2)</f>
        <v>14.91</v>
      </c>
      <c r="K125" s="78"/>
    </row>
    <row r="126" spans="1:13" ht="15" customHeight="1" x14ac:dyDescent="0.25">
      <c r="A126" s="16" t="s">
        <v>114</v>
      </c>
      <c r="B126" s="19">
        <v>37370</v>
      </c>
      <c r="C126" s="74" t="str">
        <f>VLOOKUP(B126,IF(A126="COMPOSICAO",S!$A:$D,I!$A:$D),2,FALSE)</f>
        <v>ALIMENTACAO - HORISTA (COLETADO CAIXA)</v>
      </c>
      <c r="D126" s="74"/>
      <c r="E126" s="74"/>
      <c r="F126" s="74"/>
      <c r="G126" s="16" t="str">
        <f>VLOOKUP(B126,IF(A126="COMPOSICAO",S!$A:$D,I!$A:$D),3,FALSE)</f>
        <v>H</v>
      </c>
      <c r="H126" s="17">
        <v>1</v>
      </c>
      <c r="I126" s="17">
        <f>IF(A126="COMPOSICAO",VLOOKUP("TOTAL - "&amp;B126,COMPOSICAO_AUX_3!$A:$J,10,FALSE),VLOOKUP(B126,I!$A:$D,4,FALSE))</f>
        <v>2.29</v>
      </c>
      <c r="J126" s="77">
        <f t="shared" si="4"/>
        <v>2.29</v>
      </c>
      <c r="K126" s="78"/>
    </row>
    <row r="127" spans="1:13" ht="15" customHeight="1" x14ac:dyDescent="0.25">
      <c r="A127" s="16" t="s">
        <v>114</v>
      </c>
      <c r="B127" s="19">
        <v>37371</v>
      </c>
      <c r="C127" s="74" t="str">
        <f>VLOOKUP(B127,IF(A127="COMPOSICAO",S!$A:$D,I!$A:$D),2,FALSE)</f>
        <v>TRANSPORTE - HORISTA (COLETADO CAIXA)</v>
      </c>
      <c r="D127" s="74"/>
      <c r="E127" s="74"/>
      <c r="F127" s="74"/>
      <c r="G127" s="16" t="str">
        <f>VLOOKUP(B127,IF(A127="COMPOSICAO",S!$A:$D,I!$A:$D),3,FALSE)</f>
        <v>H</v>
      </c>
      <c r="H127" s="17">
        <v>1</v>
      </c>
      <c r="I127" s="17">
        <f>IF(A127="COMPOSICAO",VLOOKUP("TOTAL - "&amp;B127,COMPOSICAO_AUX_3!$A:$J,10,FALSE),VLOOKUP(B127,I!$A:$D,4,FALSE))</f>
        <v>0.69</v>
      </c>
      <c r="J127" s="77">
        <f t="shared" si="4"/>
        <v>0.69</v>
      </c>
      <c r="K127" s="78"/>
    </row>
    <row r="128" spans="1:13" ht="15" customHeight="1" x14ac:dyDescent="0.25">
      <c r="A128" s="16" t="s">
        <v>114</v>
      </c>
      <c r="B128" s="19">
        <v>37372</v>
      </c>
      <c r="C128" s="74" t="str">
        <f>VLOOKUP(B128,IF(A128="COMPOSICAO",S!$A:$D,I!$A:$D),2,FALSE)</f>
        <v>EXAMES - HORISTA (COLETADO CAIXA)</v>
      </c>
      <c r="D128" s="74"/>
      <c r="E128" s="74"/>
      <c r="F128" s="74"/>
      <c r="G128" s="16" t="str">
        <f>VLOOKUP(B128,IF(A128="COMPOSICAO",S!$A:$D,I!$A:$D),3,FALSE)</f>
        <v>H</v>
      </c>
      <c r="H128" s="17">
        <v>1</v>
      </c>
      <c r="I128" s="17">
        <f>IF(A128="COMPOSICAO",VLOOKUP("TOTAL - "&amp;B128,COMPOSICAO_AUX_3!$A:$J,10,FALSE),VLOOKUP(B128,I!$A:$D,4,FALSE))</f>
        <v>0.81</v>
      </c>
      <c r="J128" s="77">
        <f t="shared" si="4"/>
        <v>0.81</v>
      </c>
      <c r="K128" s="78"/>
    </row>
    <row r="129" spans="1:13" ht="15" customHeight="1" x14ac:dyDescent="0.25">
      <c r="A129" s="16" t="s">
        <v>114</v>
      </c>
      <c r="B129" s="19">
        <v>37373</v>
      </c>
      <c r="C129" s="74" t="str">
        <f>VLOOKUP(B129,IF(A129="COMPOSICAO",S!$A:$D,I!$A:$D),2,FALSE)</f>
        <v>SEGURO - HORISTA (COLETADO CAIXA)</v>
      </c>
      <c r="D129" s="74"/>
      <c r="E129" s="74"/>
      <c r="F129" s="74"/>
      <c r="G129" s="16" t="str">
        <f>VLOOKUP(B129,IF(A129="COMPOSICAO",S!$A:$D,I!$A:$D),3,FALSE)</f>
        <v>H</v>
      </c>
      <c r="H129" s="17">
        <v>1</v>
      </c>
      <c r="I129" s="17">
        <f>IF(A129="COMPOSICAO",VLOOKUP("TOTAL - "&amp;B129,COMPOSICAO_AUX_3!$A:$J,10,FALSE),VLOOKUP(B129,I!$A:$D,4,FALSE))</f>
        <v>0.06</v>
      </c>
      <c r="J129" s="77">
        <f t="shared" si="4"/>
        <v>0.06</v>
      </c>
      <c r="K129" s="78"/>
    </row>
    <row r="130" spans="1:13" ht="30" customHeight="1" x14ac:dyDescent="0.25">
      <c r="A130" s="16" t="s">
        <v>114</v>
      </c>
      <c r="B130" s="19">
        <v>43461</v>
      </c>
      <c r="C130" s="74" t="str">
        <f>VLOOKUP(B130,IF(A130="COMPOSICAO",S!$A:$D,I!$A:$D),2,FALSE)</f>
        <v>FERRAMENTAS - FAMILIA ENCANADOR - HORISTA (ENCARGOS COMPLEMENTARES - COLETADO CAIXA)</v>
      </c>
      <c r="D130" s="74"/>
      <c r="E130" s="74"/>
      <c r="F130" s="74"/>
      <c r="G130" s="16" t="str">
        <f>VLOOKUP(B130,IF(A130="COMPOSICAO",S!$A:$D,I!$A:$D),3,FALSE)</f>
        <v>H</v>
      </c>
      <c r="H130" s="17">
        <v>1</v>
      </c>
      <c r="I130" s="17">
        <f>IF(A130="COMPOSICAO",VLOOKUP("TOTAL - "&amp;B130,COMPOSICAO_AUX_3!$A:$J,10,FALSE),VLOOKUP(B130,I!$A:$D,4,FALSE))</f>
        <v>0.32</v>
      </c>
      <c r="J130" s="77">
        <f t="shared" si="4"/>
        <v>0.32</v>
      </c>
      <c r="K130" s="78"/>
    </row>
    <row r="131" spans="1:13" ht="30" customHeight="1" x14ac:dyDescent="0.25">
      <c r="A131" s="16" t="s">
        <v>114</v>
      </c>
      <c r="B131" s="19">
        <v>43485</v>
      </c>
      <c r="C131" s="74" t="str">
        <f>VLOOKUP(B131,IF(A131="COMPOSICAO",S!$A:$D,I!$A:$D),2,FALSE)</f>
        <v>EPI - FAMILIA ENCANADOR - HORISTA (ENCARGOS COMPLEMENTARES - COLETADO CAIXA)</v>
      </c>
      <c r="D131" s="74"/>
      <c r="E131" s="74"/>
      <c r="F131" s="74"/>
      <c r="G131" s="16" t="str">
        <f>VLOOKUP(B131,IF(A131="COMPOSICAO",S!$A:$D,I!$A:$D),3,FALSE)</f>
        <v>H</v>
      </c>
      <c r="H131" s="17">
        <v>1</v>
      </c>
      <c r="I131" s="17">
        <f>IF(A131="COMPOSICAO",VLOOKUP("TOTAL - "&amp;B131,COMPOSICAO_AUX_3!$A:$J,10,FALSE),VLOOKUP(B131,I!$A:$D,4,FALSE))</f>
        <v>0.94</v>
      </c>
      <c r="J131" s="77">
        <f t="shared" si="4"/>
        <v>0.94</v>
      </c>
      <c r="K131" s="78"/>
    </row>
    <row r="132" spans="1:13" ht="45" customHeight="1" x14ac:dyDescent="0.25">
      <c r="A132" s="16" t="s">
        <v>115</v>
      </c>
      <c r="B132" s="19">
        <v>95335</v>
      </c>
      <c r="C132" s="74" t="str">
        <f>VLOOKUP(B132,IF(A132="COMPOSICAO",S!$A:$D,I!$A:$D),2,FALSE)</f>
        <v>CURSO DE CAPACITAÇÃO PARA ENCANADOR OU BOMBEIRO HIDRÁULICO (ENCARGOS COMPLEMENTARES) - HORISTA</v>
      </c>
      <c r="D132" s="74"/>
      <c r="E132" s="74"/>
      <c r="F132" s="74"/>
      <c r="G132" s="16" t="str">
        <f>VLOOKUP(B132,IF(A132="COMPOSICAO",S!$A:$D,I!$A:$D),3,FALSE)</f>
        <v>H</v>
      </c>
      <c r="H132" s="17">
        <v>1</v>
      </c>
      <c r="I132" s="17">
        <f>IF(A132="COMPOSICAO",VLOOKUP("TOTAL - "&amp;B132,COMPOSICAO_AUX_3!$A:$J,10,FALSE),VLOOKUP(B132,I!$A:$D,4,FALSE))</f>
        <v>0.21</v>
      </c>
      <c r="J132" s="77">
        <f t="shared" si="4"/>
        <v>0.21</v>
      </c>
      <c r="K132" s="78"/>
    </row>
    <row r="133" spans="1:13" ht="15" customHeight="1" x14ac:dyDescent="0.25">
      <c r="A133" s="23" t="s">
        <v>157</v>
      </c>
      <c r="B133" s="24"/>
      <c r="C133" s="24"/>
      <c r="D133" s="24"/>
      <c r="E133" s="24"/>
      <c r="F133" s="24"/>
      <c r="G133" s="25"/>
      <c r="H133" s="26"/>
      <c r="I133" s="27"/>
      <c r="J133" s="77">
        <f>SUM(J124:K132)</f>
        <v>20.23</v>
      </c>
      <c r="K133" s="78"/>
    </row>
    <row r="134" spans="1:13" ht="15" customHeight="1" x14ac:dyDescent="0.25">
      <c r="A134" s="3"/>
      <c r="B134" s="3"/>
      <c r="C134" s="3"/>
      <c r="D134" s="3"/>
      <c r="E134" s="3"/>
      <c r="F134" s="3"/>
      <c r="G134" s="3"/>
      <c r="H134" s="3"/>
      <c r="I134" s="3"/>
      <c r="J134" s="3"/>
      <c r="K134" s="3"/>
    </row>
    <row r="135" spans="1:13" ht="15" customHeight="1" x14ac:dyDescent="0.25">
      <c r="A135" s="10" t="s">
        <v>110</v>
      </c>
      <c r="B135" s="10" t="s">
        <v>31</v>
      </c>
      <c r="C135" s="79" t="s">
        <v>8</v>
      </c>
      <c r="D135" s="80"/>
      <c r="E135" s="80"/>
      <c r="F135" s="80"/>
      <c r="G135" s="6" t="s">
        <v>32</v>
      </c>
      <c r="H135" s="6" t="s">
        <v>111</v>
      </c>
      <c r="I135" s="6" t="s">
        <v>112</v>
      </c>
      <c r="J135" s="51" t="s">
        <v>10</v>
      </c>
      <c r="K135" s="52"/>
    </row>
    <row r="136" spans="1:13" ht="45" customHeight="1" x14ac:dyDescent="0.25">
      <c r="A136" s="6" t="s">
        <v>113</v>
      </c>
      <c r="B136" s="20">
        <v>88629</v>
      </c>
      <c r="C136" s="81" t="str">
        <f>VLOOKUP(B136,S!$A:$D,2,FALSE)</f>
        <v>ARGAMASSA TRAÇO 1:3 (EM VOLUME DE CIMENTO E AREIA MÉDIA ÚMIDA), PREPARO MANUAL. AF_08/2019</v>
      </c>
      <c r="D136" s="81"/>
      <c r="E136" s="81"/>
      <c r="F136" s="82"/>
      <c r="G136" s="6" t="str">
        <f>VLOOKUP(B136,S!$A:$D,3,FALSE)</f>
        <v>M3</v>
      </c>
      <c r="H136" s="21"/>
      <c r="I136" s="21">
        <f>J140</f>
        <v>562.56999999999994</v>
      </c>
      <c r="J136" s="73"/>
      <c r="K136" s="69"/>
      <c r="L136" s="21">
        <f>VLOOKUP(B136,S!$A:$D,4,FALSE)</f>
        <v>562.57000000000005</v>
      </c>
      <c r="M136" s="6" t="str">
        <f>IF(ROUND((L136-I136),2)=0,"OK, confere com a tabela.",IF(ROUND((L136-I136),2)&lt;0,"ACIMA ("&amp;TEXT(ROUND(I136*100/L136,4),"0,0000")&amp;" %) da tabela.","ABAIXO ("&amp;TEXT(ROUND(I136*100/L136,4),"0,0000")&amp;" %) da tabela."))</f>
        <v>OK, confere com a tabela.</v>
      </c>
    </row>
    <row r="137" spans="1:13" ht="30" customHeight="1" x14ac:dyDescent="0.25">
      <c r="A137" s="16" t="s">
        <v>114</v>
      </c>
      <c r="B137" s="19">
        <v>370</v>
      </c>
      <c r="C137" s="74" t="str">
        <f>VLOOKUP(B137,IF(A137="COMPOSICAO",S!$A:$D,I!$A:$D),2,FALSE)</f>
        <v>AREIA MEDIA - POSTO JAZIDA/FORNECEDOR (RETIRADO NA JAZIDA, SEM TRANSPORTE)</v>
      </c>
      <c r="D137" s="74"/>
      <c r="E137" s="74"/>
      <c r="F137" s="74"/>
      <c r="G137" s="16" t="str">
        <f>VLOOKUP(B137,IF(A137="COMPOSICAO",S!$A:$D,I!$A:$D),3,FALSE)</f>
        <v>M3</v>
      </c>
      <c r="H137" s="17">
        <v>1.07</v>
      </c>
      <c r="I137" s="17">
        <f>IF(A137="COMPOSICAO",VLOOKUP("TOTAL - "&amp;B137,COMPOSICAO_AUX_3!$A:$J,10,FALSE),VLOOKUP(B137,I!$A:$D,4,FALSE))</f>
        <v>70</v>
      </c>
      <c r="J137" s="77">
        <f>TRUNC(H137*I137,2)</f>
        <v>74.900000000000006</v>
      </c>
      <c r="K137" s="78"/>
    </row>
    <row r="138" spans="1:13" ht="15" customHeight="1" x14ac:dyDescent="0.25">
      <c r="A138" s="16" t="s">
        <v>114</v>
      </c>
      <c r="B138" s="19">
        <v>1379</v>
      </c>
      <c r="C138" s="74" t="str">
        <f>VLOOKUP(B138,IF(A138="COMPOSICAO",S!$A:$D,I!$A:$D),2,FALSE)</f>
        <v>CIMENTO PORTLAND COMPOSTO CP II-32</v>
      </c>
      <c r="D138" s="74"/>
      <c r="E138" s="74"/>
      <c r="F138" s="74"/>
      <c r="G138" s="16" t="str">
        <f>VLOOKUP(B138,IF(A138="COMPOSICAO",S!$A:$D,I!$A:$D),3,FALSE)</f>
        <v>KG</v>
      </c>
      <c r="H138" s="17">
        <v>482.96</v>
      </c>
      <c r="I138" s="17">
        <f>IF(A138="COMPOSICAO",VLOOKUP("TOTAL - "&amp;B138,COMPOSICAO_AUX_3!$A:$J,10,FALSE),VLOOKUP(B138,I!$A:$D,4,FALSE))</f>
        <v>0.72</v>
      </c>
      <c r="J138" s="77">
        <f>TRUNC(H138*I138,2)</f>
        <v>347.73</v>
      </c>
      <c r="K138" s="78"/>
    </row>
    <row r="139" spans="1:13" ht="15" customHeight="1" x14ac:dyDescent="0.25">
      <c r="A139" s="16" t="s">
        <v>115</v>
      </c>
      <c r="B139" s="19">
        <v>88316</v>
      </c>
      <c r="C139" s="74" t="str">
        <f>VLOOKUP(B139,IF(A139="COMPOSICAO",S!$A:$D,I!$A:$D),2,FALSE)</f>
        <v>SERVENTE COM ENCARGOS COMPLEMENTARES</v>
      </c>
      <c r="D139" s="74"/>
      <c r="E139" s="74"/>
      <c r="F139" s="74"/>
      <c r="G139" s="16" t="str">
        <f>VLOOKUP(B139,IF(A139="COMPOSICAO",S!$A:$D,I!$A:$D),3,FALSE)</f>
        <v>H</v>
      </c>
      <c r="H139" s="17">
        <v>8.57</v>
      </c>
      <c r="I139" s="17">
        <f>IF(A139="COMPOSICAO",VLOOKUP("TOTAL - "&amp;B139,COMPOSICAO_AUX_3!$A:$J,10,FALSE),VLOOKUP(B139,I!$A:$D,4,FALSE))</f>
        <v>16.329999999999998</v>
      </c>
      <c r="J139" s="77">
        <f>TRUNC(H139*I139,2)</f>
        <v>139.94</v>
      </c>
      <c r="K139" s="78"/>
    </row>
    <row r="140" spans="1:13" ht="15" customHeight="1" x14ac:dyDescent="0.25">
      <c r="A140" s="23" t="s">
        <v>188</v>
      </c>
      <c r="B140" s="24"/>
      <c r="C140" s="24"/>
      <c r="D140" s="24"/>
      <c r="E140" s="24"/>
      <c r="F140" s="24"/>
      <c r="G140" s="25"/>
      <c r="H140" s="26"/>
      <c r="I140" s="27"/>
      <c r="J140" s="77">
        <f>SUM(J136:K139)</f>
        <v>562.56999999999994</v>
      </c>
      <c r="K140" s="78"/>
    </row>
    <row r="141" spans="1:13" ht="15" customHeight="1" x14ac:dyDescent="0.25">
      <c r="A141" s="3"/>
      <c r="B141" s="3"/>
      <c r="C141" s="3"/>
      <c r="D141" s="3"/>
      <c r="E141" s="3"/>
      <c r="F141" s="3"/>
      <c r="G141" s="3"/>
      <c r="H141" s="3"/>
      <c r="I141" s="3"/>
      <c r="J141" s="3"/>
      <c r="K141" s="3"/>
    </row>
  </sheetData>
  <sheetProtection formatCells="0" formatColumns="0" formatRows="0" insertColumns="0" insertRows="0" insertHyperlinks="0" deleteColumns="0" deleteRows="0" sort="0" autoFilter="0" pivotTables="0"/>
  <mergeCells count="218">
    <mergeCell ref="A1:K1"/>
    <mergeCell ref="A2:K2"/>
    <mergeCell ref="A3:K3"/>
    <mergeCell ref="C6:F6"/>
    <mergeCell ref="J6:K6"/>
    <mergeCell ref="C7:F7"/>
    <mergeCell ref="J7:K7"/>
    <mergeCell ref="C11:F11"/>
    <mergeCell ref="J11:K11"/>
    <mergeCell ref="C12:F12"/>
    <mergeCell ref="J12:K12"/>
    <mergeCell ref="C13:F13"/>
    <mergeCell ref="J13:K13"/>
    <mergeCell ref="C8:F8"/>
    <mergeCell ref="J8:K8"/>
    <mergeCell ref="C9:F9"/>
    <mergeCell ref="J9:K9"/>
    <mergeCell ref="C10:F10"/>
    <mergeCell ref="J10:K10"/>
    <mergeCell ref="C19:F19"/>
    <mergeCell ref="J19:K19"/>
    <mergeCell ref="C20:F20"/>
    <mergeCell ref="J20:K20"/>
    <mergeCell ref="C21:F21"/>
    <mergeCell ref="J21:K21"/>
    <mergeCell ref="C14:F14"/>
    <mergeCell ref="J14:K14"/>
    <mergeCell ref="C15:F15"/>
    <mergeCell ref="J15:K15"/>
    <mergeCell ref="J16:K16"/>
    <mergeCell ref="C18:F18"/>
    <mergeCell ref="J18:K18"/>
    <mergeCell ref="C25:F25"/>
    <mergeCell ref="J25:K25"/>
    <mergeCell ref="C26:F26"/>
    <mergeCell ref="J26:K26"/>
    <mergeCell ref="C27:F27"/>
    <mergeCell ref="J27:K27"/>
    <mergeCell ref="C22:F22"/>
    <mergeCell ref="J22:K22"/>
    <mergeCell ref="C23:F23"/>
    <mergeCell ref="J23:K23"/>
    <mergeCell ref="C24:F24"/>
    <mergeCell ref="J24:K24"/>
    <mergeCell ref="C33:F33"/>
    <mergeCell ref="J33:K33"/>
    <mergeCell ref="C34:F34"/>
    <mergeCell ref="J34:K34"/>
    <mergeCell ref="C35:F35"/>
    <mergeCell ref="J35:K35"/>
    <mergeCell ref="J28:K28"/>
    <mergeCell ref="C30:F30"/>
    <mergeCell ref="J30:K30"/>
    <mergeCell ref="C31:F31"/>
    <mergeCell ref="J31:K31"/>
    <mergeCell ref="C32:F32"/>
    <mergeCell ref="J32:K32"/>
    <mergeCell ref="C41:F41"/>
    <mergeCell ref="J41:K41"/>
    <mergeCell ref="J42:K42"/>
    <mergeCell ref="C44:F44"/>
    <mergeCell ref="J44:K44"/>
    <mergeCell ref="C45:F45"/>
    <mergeCell ref="J45:K45"/>
    <mergeCell ref="J36:K36"/>
    <mergeCell ref="C38:F38"/>
    <mergeCell ref="J38:K38"/>
    <mergeCell ref="C39:F39"/>
    <mergeCell ref="J39:K39"/>
    <mergeCell ref="C40:F40"/>
    <mergeCell ref="J40:K40"/>
    <mergeCell ref="C51:F51"/>
    <mergeCell ref="J51:K51"/>
    <mergeCell ref="J52:K52"/>
    <mergeCell ref="C54:F54"/>
    <mergeCell ref="J54:K54"/>
    <mergeCell ref="C55:F55"/>
    <mergeCell ref="J55:K55"/>
    <mergeCell ref="C46:F46"/>
    <mergeCell ref="J46:K46"/>
    <mergeCell ref="J47:K47"/>
    <mergeCell ref="C49:F49"/>
    <mergeCell ref="J49:K49"/>
    <mergeCell ref="C50:F50"/>
    <mergeCell ref="J50:K50"/>
    <mergeCell ref="C61:F61"/>
    <mergeCell ref="J61:K61"/>
    <mergeCell ref="J62:K62"/>
    <mergeCell ref="C64:F64"/>
    <mergeCell ref="J64:K64"/>
    <mergeCell ref="C65:F65"/>
    <mergeCell ref="J65:K65"/>
    <mergeCell ref="C56:F56"/>
    <mergeCell ref="J56:K56"/>
    <mergeCell ref="J57:K57"/>
    <mergeCell ref="C59:F59"/>
    <mergeCell ref="J59:K59"/>
    <mergeCell ref="C60:F60"/>
    <mergeCell ref="J60:K60"/>
    <mergeCell ref="C71:F71"/>
    <mergeCell ref="J71:K71"/>
    <mergeCell ref="J72:K72"/>
    <mergeCell ref="C74:F74"/>
    <mergeCell ref="J74:K74"/>
    <mergeCell ref="C75:F75"/>
    <mergeCell ref="J75:K75"/>
    <mergeCell ref="C66:F66"/>
    <mergeCell ref="J66:K66"/>
    <mergeCell ref="J67:K67"/>
    <mergeCell ref="C69:F69"/>
    <mergeCell ref="J69:K69"/>
    <mergeCell ref="C70:F70"/>
    <mergeCell ref="J70:K70"/>
    <mergeCell ref="C81:F81"/>
    <mergeCell ref="J81:K81"/>
    <mergeCell ref="J82:K82"/>
    <mergeCell ref="C84:F84"/>
    <mergeCell ref="J84:K84"/>
    <mergeCell ref="C85:F85"/>
    <mergeCell ref="J85:K85"/>
    <mergeCell ref="C76:F76"/>
    <mergeCell ref="J76:K76"/>
    <mergeCell ref="J77:K77"/>
    <mergeCell ref="C79:F79"/>
    <mergeCell ref="J79:K79"/>
    <mergeCell ref="C80:F80"/>
    <mergeCell ref="J80:K80"/>
    <mergeCell ref="C91:F91"/>
    <mergeCell ref="J91:K91"/>
    <mergeCell ref="C92:F92"/>
    <mergeCell ref="J92:K92"/>
    <mergeCell ref="C93:F93"/>
    <mergeCell ref="J93:K93"/>
    <mergeCell ref="C86:F86"/>
    <mergeCell ref="J86:K86"/>
    <mergeCell ref="J87:K87"/>
    <mergeCell ref="C89:F89"/>
    <mergeCell ref="J89:K89"/>
    <mergeCell ref="C90:F90"/>
    <mergeCell ref="J90:K90"/>
    <mergeCell ref="C97:F97"/>
    <mergeCell ref="J97:K97"/>
    <mergeCell ref="C98:F98"/>
    <mergeCell ref="J98:K98"/>
    <mergeCell ref="J99:K99"/>
    <mergeCell ref="C101:F101"/>
    <mergeCell ref="J101:K101"/>
    <mergeCell ref="C94:F94"/>
    <mergeCell ref="J94:K94"/>
    <mergeCell ref="C95:F95"/>
    <mergeCell ref="J95:K95"/>
    <mergeCell ref="C96:F96"/>
    <mergeCell ref="J96:K96"/>
    <mergeCell ref="C107:F107"/>
    <mergeCell ref="J107:K107"/>
    <mergeCell ref="C108:F108"/>
    <mergeCell ref="J108:K108"/>
    <mergeCell ref="J109:K109"/>
    <mergeCell ref="C111:F111"/>
    <mergeCell ref="J111:K111"/>
    <mergeCell ref="C102:F102"/>
    <mergeCell ref="J102:K102"/>
    <mergeCell ref="C103:F103"/>
    <mergeCell ref="J103:K103"/>
    <mergeCell ref="J104:K104"/>
    <mergeCell ref="C106:F106"/>
    <mergeCell ref="J106:K106"/>
    <mergeCell ref="C115:F115"/>
    <mergeCell ref="J115:K115"/>
    <mergeCell ref="C116:F116"/>
    <mergeCell ref="J116:K116"/>
    <mergeCell ref="C117:F117"/>
    <mergeCell ref="J117:K117"/>
    <mergeCell ref="C112:F112"/>
    <mergeCell ref="J112:K112"/>
    <mergeCell ref="C113:F113"/>
    <mergeCell ref="J113:K113"/>
    <mergeCell ref="C114:F114"/>
    <mergeCell ref="J114:K114"/>
    <mergeCell ref="J121:K121"/>
    <mergeCell ref="C123:F123"/>
    <mergeCell ref="J123:K123"/>
    <mergeCell ref="C124:F124"/>
    <mergeCell ref="J124:K124"/>
    <mergeCell ref="C125:F125"/>
    <mergeCell ref="J125:K125"/>
    <mergeCell ref="C118:F118"/>
    <mergeCell ref="J118:K118"/>
    <mergeCell ref="C119:F119"/>
    <mergeCell ref="J119:K119"/>
    <mergeCell ref="C120:F120"/>
    <mergeCell ref="J120:K120"/>
    <mergeCell ref="C129:F129"/>
    <mergeCell ref="J129:K129"/>
    <mergeCell ref="C130:F130"/>
    <mergeCell ref="J130:K130"/>
    <mergeCell ref="C131:F131"/>
    <mergeCell ref="J131:K131"/>
    <mergeCell ref="C126:F126"/>
    <mergeCell ref="J126:K126"/>
    <mergeCell ref="C127:F127"/>
    <mergeCell ref="J127:K127"/>
    <mergeCell ref="C128:F128"/>
    <mergeCell ref="J128:K128"/>
    <mergeCell ref="J140:K140"/>
    <mergeCell ref="C137:F137"/>
    <mergeCell ref="J137:K137"/>
    <mergeCell ref="C138:F138"/>
    <mergeCell ref="J138:K138"/>
    <mergeCell ref="C139:F139"/>
    <mergeCell ref="J139:K139"/>
    <mergeCell ref="C132:F132"/>
    <mergeCell ref="J132:K132"/>
    <mergeCell ref="J133:K133"/>
    <mergeCell ref="C135:F135"/>
    <mergeCell ref="J135:K135"/>
    <mergeCell ref="C136:F136"/>
    <mergeCell ref="J136:K136"/>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election activeCell="I9" sqref="I9"/>
    </sheetView>
  </sheetViews>
  <sheetFormatPr defaultRowHeight="15" customHeight="1" x14ac:dyDescent="0.25"/>
  <cols>
    <col min="1" max="1" width="14.7109375" style="1" customWidth="1"/>
    <col min="2" max="2" width="12.7109375" style="1" customWidth="1"/>
    <col min="3" max="3" width="4.7109375" style="1" customWidth="1"/>
    <col min="4" max="4" width="8.7109375" style="1" customWidth="1"/>
    <col min="5" max="5" width="25.7109375" style="1" customWidth="1"/>
    <col min="6" max="6" width="12.7109375" style="1" customWidth="1"/>
    <col min="7" max="7" width="8.7109375" style="1" customWidth="1"/>
    <col min="8" max="9" width="16.7109375" style="1" customWidth="1"/>
    <col min="10" max="11" width="8.7109375" style="1" customWidth="1"/>
    <col min="12" max="12" width="16.7109375" style="1" customWidth="1"/>
    <col min="13" max="13" width="27.5703125" style="1" customWidth="1"/>
    <col min="14" max="16384" width="9.140625" style="1"/>
  </cols>
  <sheetData>
    <row r="1" spans="1:13" ht="15" customHeight="1" x14ac:dyDescent="0.25">
      <c r="A1" s="49" t="str">
        <f>CIDADE</f>
        <v>MUNICÍPIO DE SAO RAIMUNDO NONATO - PI</v>
      </c>
      <c r="B1" s="49"/>
      <c r="C1" s="49"/>
      <c r="D1" s="49"/>
      <c r="E1" s="49"/>
      <c r="F1" s="49"/>
      <c r="G1" s="49"/>
      <c r="H1" s="49"/>
      <c r="I1" s="49"/>
      <c r="J1" s="49"/>
      <c r="K1" s="49"/>
    </row>
    <row r="2" spans="1:13" ht="15" customHeight="1" x14ac:dyDescent="0.25">
      <c r="A2" s="49" t="str">
        <f>OBRA</f>
        <v>ESPAÇO DA CIDADANIA</v>
      </c>
      <c r="B2" s="49"/>
      <c r="C2" s="49"/>
      <c r="D2" s="49"/>
      <c r="E2" s="49"/>
      <c r="F2" s="49"/>
      <c r="G2" s="49"/>
      <c r="H2" s="49"/>
      <c r="I2" s="49"/>
      <c r="J2" s="49"/>
      <c r="K2" s="49"/>
    </row>
    <row r="3" spans="1:13" ht="15" customHeight="1" x14ac:dyDescent="0.25">
      <c r="A3" s="49" t="s">
        <v>189</v>
      </c>
      <c r="B3" s="49"/>
      <c r="C3" s="49"/>
      <c r="D3" s="49"/>
      <c r="E3" s="49"/>
      <c r="F3" s="49"/>
      <c r="G3" s="49"/>
      <c r="H3" s="49"/>
      <c r="I3" s="49"/>
      <c r="J3" s="49"/>
      <c r="K3" s="49"/>
    </row>
    <row r="4" spans="1:13" ht="15" customHeight="1" x14ac:dyDescent="0.25">
      <c r="A4" s="3"/>
      <c r="B4" s="3"/>
      <c r="C4" s="3"/>
      <c r="D4" s="3"/>
      <c r="E4" s="3"/>
      <c r="F4" s="3"/>
      <c r="G4" s="3"/>
      <c r="H4" s="3"/>
      <c r="I4" s="3"/>
      <c r="J4" s="3"/>
      <c r="K4" s="3"/>
    </row>
    <row r="5" spans="1:13" ht="15" customHeight="1" x14ac:dyDescent="0.25">
      <c r="A5" s="2" t="s">
        <v>3</v>
      </c>
      <c r="B5" s="4" t="str">
        <f>FONTE&amp;ONERA</f>
        <v>SINAPI PI-12/2021, SEINFRA 27, ORSE-11/2021, SEM DESONERAÇÃO</v>
      </c>
      <c r="C5" s="2"/>
      <c r="D5" s="2"/>
      <c r="E5" s="2"/>
      <c r="G5" s="3"/>
      <c r="H5" s="2" t="s">
        <v>6</v>
      </c>
      <c r="I5" s="5">
        <f>LEI</f>
        <v>111.86</v>
      </c>
      <c r="J5" s="2" t="s">
        <v>7</v>
      </c>
      <c r="K5" s="5">
        <f>BDI</f>
        <v>20.34</v>
      </c>
    </row>
    <row r="6" spans="1:13" ht="15" customHeight="1" x14ac:dyDescent="0.25">
      <c r="A6" s="10" t="s">
        <v>110</v>
      </c>
      <c r="B6" s="10" t="s">
        <v>31</v>
      </c>
      <c r="C6" s="79" t="s">
        <v>8</v>
      </c>
      <c r="D6" s="80"/>
      <c r="E6" s="80"/>
      <c r="F6" s="80"/>
      <c r="G6" s="6" t="s">
        <v>32</v>
      </c>
      <c r="H6" s="6" t="s">
        <v>111</v>
      </c>
      <c r="I6" s="6" t="s">
        <v>112</v>
      </c>
      <c r="J6" s="51" t="s">
        <v>10</v>
      </c>
      <c r="K6" s="52"/>
    </row>
    <row r="7" spans="1:13" ht="30" customHeight="1" x14ac:dyDescent="0.25">
      <c r="A7" s="6" t="s">
        <v>113</v>
      </c>
      <c r="B7" s="20">
        <v>95378</v>
      </c>
      <c r="C7" s="81" t="str">
        <f>VLOOKUP(B7,S!$A:$D,2,FALSE)</f>
        <v>CURSO DE CAPACITAÇÃO PARA SERVENTE (ENCARGOS COMPLEMENTARES) - HORISTA</v>
      </c>
      <c r="D7" s="81"/>
      <c r="E7" s="81"/>
      <c r="F7" s="82"/>
      <c r="G7" s="6" t="str">
        <f>VLOOKUP(B7,S!$A:$D,3,FALSE)</f>
        <v>H</v>
      </c>
      <c r="H7" s="21"/>
      <c r="I7" s="21">
        <f>J9</f>
        <v>0.18</v>
      </c>
      <c r="J7" s="73"/>
      <c r="K7" s="69"/>
      <c r="L7" s="21">
        <f>VLOOKUP(B7,S!$A:$D,4,FALSE)</f>
        <v>0.18</v>
      </c>
      <c r="M7" s="6" t="str">
        <f>IF(ROUND((L7-I7),2)=0,"OK, confere com a tabela.",IF(ROUND((L7-I7),2)&lt;0,"ACIMA ("&amp;TEXT(ROUND(I7*100/L7,4),"0,0000")&amp;" %) da tabela.","ABAIXO ("&amp;TEXT(ROUND(I7*100/L7,4),"0,0000")&amp;" %) da tabela."))</f>
        <v>OK, confere com a tabela.</v>
      </c>
    </row>
    <row r="8" spans="1:13" ht="15" customHeight="1" x14ac:dyDescent="0.25">
      <c r="A8" s="16" t="s">
        <v>114</v>
      </c>
      <c r="B8" s="19">
        <v>6111</v>
      </c>
      <c r="C8" s="74" t="str">
        <f>VLOOKUP(B8,IF(A8="COMPOSICAO",S!$A:$D,I!$A:$D),2,FALSE)</f>
        <v>SERVENTE DE OBRAS</v>
      </c>
      <c r="D8" s="74"/>
      <c r="E8" s="74"/>
      <c r="F8" s="74"/>
      <c r="G8" s="16" t="str">
        <f>VLOOKUP(B8,IF(A8="COMPOSICAO",S!$A:$D,I!$A:$D),3,FALSE)</f>
        <v>H</v>
      </c>
      <c r="H8" s="29">
        <v>1.72E-2</v>
      </c>
      <c r="I8" s="17">
        <f>IF(A8="COMPOSICAO",VLOOKUP("TOTAL - "&amp;B8,COMPOSICAO_AUX_4!$A:$J,10,FALSE),VLOOKUP(B8,I!$A:$D,4,FALSE))</f>
        <v>10.59</v>
      </c>
      <c r="J8" s="77">
        <f>TRUNC(H8*I8,2)</f>
        <v>0.18</v>
      </c>
      <c r="K8" s="78"/>
    </row>
    <row r="9" spans="1:13" ht="15" customHeight="1" x14ac:dyDescent="0.25">
      <c r="A9" s="23" t="s">
        <v>176</v>
      </c>
      <c r="B9" s="24"/>
      <c r="C9" s="24"/>
      <c r="D9" s="24"/>
      <c r="E9" s="24"/>
      <c r="F9" s="24"/>
      <c r="G9" s="25"/>
      <c r="H9" s="26"/>
      <c r="I9" s="27"/>
      <c r="J9" s="77">
        <f>SUM(J7:K8)</f>
        <v>0.18</v>
      </c>
      <c r="K9" s="78"/>
    </row>
    <row r="10" spans="1:13" ht="15" customHeight="1" x14ac:dyDescent="0.25">
      <c r="A10" s="3"/>
      <c r="B10" s="3"/>
      <c r="C10" s="3"/>
      <c r="D10" s="3"/>
      <c r="E10" s="3"/>
      <c r="F10" s="3"/>
      <c r="G10" s="3"/>
      <c r="H10" s="3"/>
      <c r="I10" s="3"/>
      <c r="J10" s="3"/>
      <c r="K10" s="3"/>
    </row>
    <row r="11" spans="1:13" ht="15" customHeight="1" x14ac:dyDescent="0.25">
      <c r="A11" s="10" t="s">
        <v>110</v>
      </c>
      <c r="B11" s="10" t="s">
        <v>31</v>
      </c>
      <c r="C11" s="79" t="s">
        <v>8</v>
      </c>
      <c r="D11" s="80"/>
      <c r="E11" s="80"/>
      <c r="F11" s="80"/>
      <c r="G11" s="6" t="s">
        <v>32</v>
      </c>
      <c r="H11" s="6" t="s">
        <v>111</v>
      </c>
      <c r="I11" s="6" t="s">
        <v>112</v>
      </c>
      <c r="J11" s="51" t="s">
        <v>10</v>
      </c>
      <c r="K11" s="52"/>
    </row>
    <row r="12" spans="1:13" ht="45" customHeight="1" x14ac:dyDescent="0.25">
      <c r="A12" s="6" t="s">
        <v>113</v>
      </c>
      <c r="B12" s="20">
        <v>95389</v>
      </c>
      <c r="C12" s="81" t="str">
        <f>VLOOKUP(B12,S!$A:$D,2,FALSE)</f>
        <v>CURSO DE CAPACITAÇÃO PARA OPERADOR DE BETONEIRA ESTACIONÁRIA/MISTURADOR (ENCARGOS COMPLEMENTARES) - HORISTA</v>
      </c>
      <c r="D12" s="81"/>
      <c r="E12" s="81"/>
      <c r="F12" s="82"/>
      <c r="G12" s="6" t="str">
        <f>VLOOKUP(B12,S!$A:$D,3,FALSE)</f>
        <v>H</v>
      </c>
      <c r="H12" s="21"/>
      <c r="I12" s="21">
        <f>J14</f>
        <v>0.1</v>
      </c>
      <c r="J12" s="73"/>
      <c r="K12" s="69"/>
      <c r="L12" s="21">
        <f>VLOOKUP(B12,S!$A:$D,4,FALSE)</f>
        <v>0.1</v>
      </c>
      <c r="M12" s="6" t="str">
        <f>IF(ROUND((L12-I12),2)=0,"OK, confere com a tabela.",IF(ROUND((L12-I12),2)&lt;0,"ACIMA ("&amp;TEXT(ROUND(I12*100/L12,4),"0,0000")&amp;" %) da tabela.","ABAIXO ("&amp;TEXT(ROUND(I12*100/L12,4),"0,0000")&amp;" %) da tabela."))</f>
        <v>OK, confere com a tabela.</v>
      </c>
    </row>
    <row r="13" spans="1:13" ht="30" customHeight="1" x14ac:dyDescent="0.25">
      <c r="A13" s="16" t="s">
        <v>114</v>
      </c>
      <c r="B13" s="19">
        <v>37666</v>
      </c>
      <c r="C13" s="74" t="str">
        <f>VLOOKUP(B13,IF(A13="COMPOSICAO",S!$A:$D,I!$A:$D),2,FALSE)</f>
        <v>OPERADOR DE BETONEIRA ESTACIONARIA / MISTURADOR</v>
      </c>
      <c r="D13" s="74"/>
      <c r="E13" s="74"/>
      <c r="F13" s="74"/>
      <c r="G13" s="16" t="str">
        <f>VLOOKUP(B13,IF(A13="COMPOSICAO",S!$A:$D,I!$A:$D),3,FALSE)</f>
        <v>H</v>
      </c>
      <c r="H13" s="29">
        <v>6.7000000000000002E-3</v>
      </c>
      <c r="I13" s="17">
        <f>IF(A13="COMPOSICAO",VLOOKUP("TOTAL - "&amp;B13,COMPOSICAO_AUX_4!$A:$J,10,FALSE),VLOOKUP(B13,I!$A:$D,4,FALSE))</f>
        <v>14.93</v>
      </c>
      <c r="J13" s="77">
        <f>TRUNC(H13*I13,2)</f>
        <v>0.1</v>
      </c>
      <c r="K13" s="78"/>
    </row>
    <row r="14" spans="1:13" ht="15" customHeight="1" x14ac:dyDescent="0.25">
      <c r="A14" s="23" t="s">
        <v>190</v>
      </c>
      <c r="B14" s="24"/>
      <c r="C14" s="24"/>
      <c r="D14" s="24"/>
      <c r="E14" s="24"/>
      <c r="F14" s="24"/>
      <c r="G14" s="25"/>
      <c r="H14" s="26"/>
      <c r="I14" s="27"/>
      <c r="J14" s="77">
        <f>SUM(J12:K13)</f>
        <v>0.1</v>
      </c>
      <c r="K14" s="78"/>
    </row>
    <row r="15" spans="1:13" ht="15" customHeight="1" x14ac:dyDescent="0.25">
      <c r="A15" s="3"/>
      <c r="B15" s="3"/>
      <c r="C15" s="3"/>
      <c r="D15" s="3"/>
      <c r="E15" s="3"/>
      <c r="F15" s="3"/>
      <c r="G15" s="3"/>
      <c r="H15" s="3"/>
      <c r="I15" s="3"/>
      <c r="J15" s="3"/>
      <c r="K15" s="3"/>
    </row>
    <row r="16" spans="1:13" ht="15" customHeight="1" x14ac:dyDescent="0.25">
      <c r="A16" s="10" t="s">
        <v>110</v>
      </c>
      <c r="B16" s="10" t="s">
        <v>31</v>
      </c>
      <c r="C16" s="79" t="s">
        <v>8</v>
      </c>
      <c r="D16" s="80"/>
      <c r="E16" s="80"/>
      <c r="F16" s="80"/>
      <c r="G16" s="6" t="s">
        <v>32</v>
      </c>
      <c r="H16" s="6" t="s">
        <v>111</v>
      </c>
      <c r="I16" s="6" t="s">
        <v>112</v>
      </c>
      <c r="J16" s="51" t="s">
        <v>10</v>
      </c>
      <c r="K16" s="52"/>
    </row>
    <row r="17" spans="1:13" ht="60" customHeight="1" x14ac:dyDescent="0.25">
      <c r="A17" s="6" t="s">
        <v>160</v>
      </c>
      <c r="B17" s="20">
        <v>88829</v>
      </c>
      <c r="C17" s="81" t="str">
        <f>VLOOKUP(B17,S!$A:$D,2,FALSE)</f>
        <v>BETONEIRA CAPACIDADE NOMINAL DE 400 L, CAPACIDADE DE MISTURA 280 L, MOTOR ELÉTRICO TRIFÁSICO POTÊNCIA DE 2 CV, SEM CARREGADOR - MATERIAIS NA OPERAÇÃO. AF_10/2014</v>
      </c>
      <c r="D17" s="81"/>
      <c r="E17" s="81"/>
      <c r="F17" s="82"/>
      <c r="G17" s="6" t="str">
        <f>VLOOKUP(B17,S!$A:$D,3,FALSE)</f>
        <v>H</v>
      </c>
      <c r="H17" s="21"/>
      <c r="I17" s="21">
        <f>J19</f>
        <v>1.27</v>
      </c>
      <c r="J17" s="73"/>
      <c r="K17" s="69"/>
      <c r="L17" s="21">
        <f>VLOOKUP(B17,S!$A:$D,4,FALSE)</f>
        <v>1.27</v>
      </c>
      <c r="M17" s="6" t="str">
        <f>IF(ROUND((L17-I17),2)=0,"OK, confere com a tabela.",IF(ROUND((L17-I17),2)&lt;0,"ACIMA ("&amp;TEXT(ROUND(I17*100/L17,4),"0,0000")&amp;" %) da tabela.","ABAIXO ("&amp;TEXT(ROUND(I17*100/L17,4),"0,0000")&amp;" %) da tabela."))</f>
        <v>OK, confere com a tabela.</v>
      </c>
    </row>
    <row r="18" spans="1:13" ht="30" customHeight="1" x14ac:dyDescent="0.25">
      <c r="A18" s="16" t="s">
        <v>114</v>
      </c>
      <c r="B18" s="19">
        <v>2705</v>
      </c>
      <c r="C18" s="74" t="str">
        <f>VLOOKUP(B18,IF(A18="COMPOSICAO",S!$A:$D,I!$A:$D),2,FALSE)</f>
        <v>ENERGIA ELETRICA ATE 2000 KWH INDUSTRIAL, SEM DEMANDA</v>
      </c>
      <c r="D18" s="74"/>
      <c r="E18" s="74"/>
      <c r="F18" s="74"/>
      <c r="G18" s="16" t="str">
        <f>VLOOKUP(B18,IF(A18="COMPOSICAO",S!$A:$D,I!$A:$D),3,FALSE)</f>
        <v>KW/H</v>
      </c>
      <c r="H18" s="17">
        <v>1.25</v>
      </c>
      <c r="I18" s="17">
        <f>IF(A18="COMPOSICAO",VLOOKUP("TOTAL - "&amp;B18,COMPOSICAO_AUX_4!$A:$J,10,FALSE),VLOOKUP(B18,I!$A:$D,4,FALSE))</f>
        <v>1.02</v>
      </c>
      <c r="J18" s="77">
        <f>TRUNC(H18*I18,2)</f>
        <v>1.27</v>
      </c>
      <c r="K18" s="78"/>
    </row>
    <row r="19" spans="1:13" ht="15" customHeight="1" x14ac:dyDescent="0.25">
      <c r="A19" s="23" t="s">
        <v>191</v>
      </c>
      <c r="B19" s="24"/>
      <c r="C19" s="24"/>
      <c r="D19" s="24"/>
      <c r="E19" s="24"/>
      <c r="F19" s="24"/>
      <c r="G19" s="25"/>
      <c r="H19" s="26"/>
      <c r="I19" s="27"/>
      <c r="J19" s="77">
        <f>SUM(J17:K18)</f>
        <v>1.27</v>
      </c>
      <c r="K19" s="78"/>
    </row>
    <row r="20" spans="1:13" ht="15" customHeight="1" x14ac:dyDescent="0.25">
      <c r="A20" s="3"/>
      <c r="B20" s="3"/>
      <c r="C20" s="3"/>
      <c r="D20" s="3"/>
      <c r="E20" s="3"/>
      <c r="F20" s="3"/>
      <c r="G20" s="3"/>
      <c r="H20" s="3"/>
      <c r="I20" s="3"/>
      <c r="J20" s="3"/>
      <c r="K20" s="3"/>
    </row>
    <row r="21" spans="1:13" ht="15" customHeight="1" x14ac:dyDescent="0.25">
      <c r="A21" s="10" t="s">
        <v>110</v>
      </c>
      <c r="B21" s="10" t="s">
        <v>31</v>
      </c>
      <c r="C21" s="79" t="s">
        <v>8</v>
      </c>
      <c r="D21" s="80"/>
      <c r="E21" s="80"/>
      <c r="F21" s="80"/>
      <c r="G21" s="6" t="s">
        <v>32</v>
      </c>
      <c r="H21" s="6" t="s">
        <v>111</v>
      </c>
      <c r="I21" s="6" t="s">
        <v>112</v>
      </c>
      <c r="J21" s="51" t="s">
        <v>10</v>
      </c>
      <c r="K21" s="52"/>
    </row>
    <row r="22" spans="1:13" ht="60" customHeight="1" x14ac:dyDescent="0.25">
      <c r="A22" s="6" t="s">
        <v>160</v>
      </c>
      <c r="B22" s="20">
        <v>88828</v>
      </c>
      <c r="C22" s="81" t="str">
        <f>VLOOKUP(B22,S!$A:$D,2,FALSE)</f>
        <v>BETONEIRA CAPACIDADE NOMINAL DE 400 L, CAPACIDADE DE MISTURA 280 L, MOTOR ELÉTRICO TRIFÁSICO POTÊNCIA DE 2 CV, SEM CARREGADOR - MANUTENÇÃO. AF_10/2014</v>
      </c>
      <c r="D22" s="81"/>
      <c r="E22" s="81"/>
      <c r="F22" s="82"/>
      <c r="G22" s="6" t="str">
        <f>VLOOKUP(B22,S!$A:$D,3,FALSE)</f>
        <v>H</v>
      </c>
      <c r="H22" s="21"/>
      <c r="I22" s="21">
        <f>J24</f>
        <v>0.34</v>
      </c>
      <c r="J22" s="73"/>
      <c r="K22" s="69"/>
      <c r="L22" s="21">
        <f>VLOOKUP(B22,S!$A:$D,4,FALSE)</f>
        <v>0.34</v>
      </c>
      <c r="M22" s="6" t="str">
        <f>IF(ROUND((L22-I22),2)=0,"OK, confere com a tabela.",IF(ROUND((L22-I22),2)&lt;0,"ACIMA ("&amp;TEXT(ROUND(I22*100/L22,4),"0,0000")&amp;" %) da tabela.","ABAIXO ("&amp;TEXT(ROUND(I22*100/L22,4),"0,0000")&amp;" %) da tabela."))</f>
        <v>OK, confere com a tabela.</v>
      </c>
    </row>
    <row r="23" spans="1:13" ht="45" customHeight="1" x14ac:dyDescent="0.25">
      <c r="A23" s="16" t="s">
        <v>114</v>
      </c>
      <c r="B23" s="19">
        <v>10535</v>
      </c>
      <c r="C23" s="74" t="str">
        <f>VLOOKUP(B23,IF(A23="COMPOSICAO",S!$A:$D,I!$A:$D),2,FALSE)</f>
        <v>BETONEIRA CAPACIDADE NOMINAL 400 L, CAPACIDADE DE MISTURA  280 L, MOTOR ELETRICO TRIFASICO 220/380 V POTENCIA 2 CV, SEM CARREGADOR</v>
      </c>
      <c r="D23" s="74"/>
      <c r="E23" s="74"/>
      <c r="F23" s="74"/>
      <c r="G23" s="16" t="str">
        <f>VLOOKUP(B23,IF(A23="COMPOSICAO",S!$A:$D,I!$A:$D),3,FALSE)</f>
        <v>UN</v>
      </c>
      <c r="H23" s="30">
        <v>6.9999999999999994E-5</v>
      </c>
      <c r="I23" s="17">
        <f>IF(A23="COMPOSICAO",VLOOKUP("TOTAL - "&amp;B23,COMPOSICAO_AUX_4!$A:$J,10,FALSE),VLOOKUP(B23,I!$A:$D,4,FALSE))</f>
        <v>4871.5</v>
      </c>
      <c r="J23" s="77">
        <f>TRUNC(H23*I23,2)</f>
        <v>0.34</v>
      </c>
      <c r="K23" s="78"/>
    </row>
    <row r="24" spans="1:13" ht="15" customHeight="1" x14ac:dyDescent="0.25">
      <c r="A24" s="23" t="s">
        <v>192</v>
      </c>
      <c r="B24" s="24"/>
      <c r="C24" s="24"/>
      <c r="D24" s="24"/>
      <c r="E24" s="24"/>
      <c r="F24" s="24"/>
      <c r="G24" s="25"/>
      <c r="H24" s="26"/>
      <c r="I24" s="27"/>
      <c r="J24" s="77">
        <f>SUM(J22:K23)</f>
        <v>0.34</v>
      </c>
      <c r="K24" s="78"/>
    </row>
    <row r="25" spans="1:13" ht="15" customHeight="1" x14ac:dyDescent="0.25">
      <c r="A25" s="3"/>
      <c r="B25" s="3"/>
      <c r="C25" s="3"/>
      <c r="D25" s="3"/>
      <c r="E25" s="3"/>
      <c r="F25" s="3"/>
      <c r="G25" s="3"/>
      <c r="H25" s="3"/>
      <c r="I25" s="3"/>
      <c r="J25" s="3"/>
      <c r="K25" s="3"/>
    </row>
    <row r="26" spans="1:13" ht="15" customHeight="1" x14ac:dyDescent="0.25">
      <c r="A26" s="10" t="s">
        <v>110</v>
      </c>
      <c r="B26" s="10" t="s">
        <v>31</v>
      </c>
      <c r="C26" s="79" t="s">
        <v>8</v>
      </c>
      <c r="D26" s="80"/>
      <c r="E26" s="80"/>
      <c r="F26" s="80"/>
      <c r="G26" s="6" t="s">
        <v>32</v>
      </c>
      <c r="H26" s="6" t="s">
        <v>111</v>
      </c>
      <c r="I26" s="6" t="s">
        <v>112</v>
      </c>
      <c r="J26" s="51" t="s">
        <v>10</v>
      </c>
      <c r="K26" s="52"/>
    </row>
    <row r="27" spans="1:13" ht="60" customHeight="1" x14ac:dyDescent="0.25">
      <c r="A27" s="6" t="s">
        <v>160</v>
      </c>
      <c r="B27" s="20">
        <v>88827</v>
      </c>
      <c r="C27" s="81" t="str">
        <f>VLOOKUP(B27,S!$A:$D,2,FALSE)</f>
        <v>BETONEIRA CAPACIDADE NOMINAL DE 400 L, CAPACIDADE DE MISTURA 280 L, MOTOR ELÉTRICO TRIFÁSICO POTÊNCIA DE 2 CV, SEM CARREGADOR - JUROS. AF_10/2014</v>
      </c>
      <c r="D27" s="81"/>
      <c r="E27" s="81"/>
      <c r="F27" s="82"/>
      <c r="G27" s="6" t="str">
        <f>VLOOKUP(B27,S!$A:$D,3,FALSE)</f>
        <v>H</v>
      </c>
      <c r="H27" s="21"/>
      <c r="I27" s="21">
        <f>J29</f>
        <v>0.03</v>
      </c>
      <c r="J27" s="73"/>
      <c r="K27" s="69"/>
      <c r="L27" s="21">
        <f>VLOOKUP(B27,S!$A:$D,4,FALSE)</f>
        <v>0.03</v>
      </c>
      <c r="M27" s="6" t="str">
        <f>IF(ROUND((L27-I27),2)=0,"OK, confere com a tabela.",IF(ROUND((L27-I27),2)&lt;0,"ACIMA ("&amp;TEXT(ROUND(I27*100/L27,4),"0,0000")&amp;" %) da tabela.","ABAIXO ("&amp;TEXT(ROUND(I27*100/L27,4),"0,0000")&amp;" %) da tabela."))</f>
        <v>OK, confere com a tabela.</v>
      </c>
    </row>
    <row r="28" spans="1:13" ht="45" customHeight="1" x14ac:dyDescent="0.25">
      <c r="A28" s="16" t="s">
        <v>114</v>
      </c>
      <c r="B28" s="19">
        <v>10535</v>
      </c>
      <c r="C28" s="74" t="str">
        <f>VLOOKUP(B28,IF(A28="COMPOSICAO",S!$A:$D,I!$A:$D),2,FALSE)</f>
        <v>BETONEIRA CAPACIDADE NOMINAL 400 L, CAPACIDADE DE MISTURA  280 L, MOTOR ELETRICO TRIFASICO 220/380 V POTENCIA 2 CV, SEM CARREGADOR</v>
      </c>
      <c r="D28" s="74"/>
      <c r="E28" s="74"/>
      <c r="F28" s="74"/>
      <c r="G28" s="16" t="str">
        <f>VLOOKUP(B28,IF(A28="COMPOSICAO",S!$A:$D,I!$A:$D),3,FALSE)</f>
        <v>UN</v>
      </c>
      <c r="H28" s="31">
        <v>7.6000000000000001E-6</v>
      </c>
      <c r="I28" s="17">
        <f>IF(A28="COMPOSICAO",VLOOKUP("TOTAL - "&amp;B28,COMPOSICAO_AUX_4!$A:$J,10,FALSE),VLOOKUP(B28,I!$A:$D,4,FALSE))</f>
        <v>4871.5</v>
      </c>
      <c r="J28" s="77">
        <f>TRUNC(H28*I28,2)</f>
        <v>0.03</v>
      </c>
      <c r="K28" s="78"/>
    </row>
    <row r="29" spans="1:13" ht="15" customHeight="1" x14ac:dyDescent="0.25">
      <c r="A29" s="23" t="s">
        <v>193</v>
      </c>
      <c r="B29" s="24"/>
      <c r="C29" s="24"/>
      <c r="D29" s="24"/>
      <c r="E29" s="24"/>
      <c r="F29" s="24"/>
      <c r="G29" s="25"/>
      <c r="H29" s="26"/>
      <c r="I29" s="27"/>
      <c r="J29" s="77">
        <f>SUM(J27:K28)</f>
        <v>0.03</v>
      </c>
      <c r="K29" s="78"/>
    </row>
    <row r="30" spans="1:13" ht="15" customHeight="1" x14ac:dyDescent="0.25">
      <c r="A30" s="3"/>
      <c r="B30" s="3"/>
      <c r="C30" s="3"/>
      <c r="D30" s="3"/>
      <c r="E30" s="3"/>
      <c r="F30" s="3"/>
      <c r="G30" s="3"/>
      <c r="H30" s="3"/>
      <c r="I30" s="3"/>
      <c r="J30" s="3"/>
      <c r="K30" s="3"/>
    </row>
    <row r="31" spans="1:13" ht="15" customHeight="1" x14ac:dyDescent="0.25">
      <c r="A31" s="10" t="s">
        <v>110</v>
      </c>
      <c r="B31" s="10" t="s">
        <v>31</v>
      </c>
      <c r="C31" s="79" t="s">
        <v>8</v>
      </c>
      <c r="D31" s="80"/>
      <c r="E31" s="80"/>
      <c r="F31" s="80"/>
      <c r="G31" s="6" t="s">
        <v>32</v>
      </c>
      <c r="H31" s="6" t="s">
        <v>111</v>
      </c>
      <c r="I31" s="6" t="s">
        <v>112</v>
      </c>
      <c r="J31" s="51" t="s">
        <v>10</v>
      </c>
      <c r="K31" s="52"/>
    </row>
    <row r="32" spans="1:13" ht="60" customHeight="1" x14ac:dyDescent="0.25">
      <c r="A32" s="6" t="s">
        <v>160</v>
      </c>
      <c r="B32" s="20">
        <v>88826</v>
      </c>
      <c r="C32" s="81" t="str">
        <f>VLOOKUP(B32,S!$A:$D,2,FALSE)</f>
        <v>BETONEIRA CAPACIDADE NOMINAL DE 400 L, CAPACIDADE DE MISTURA 280 L, MOTOR ELÉTRICO TRIFÁSICO POTÊNCIA DE 2 CV, SEM CARREGADOR - DEPRECIAÇÃO. AF_10/2014</v>
      </c>
      <c r="D32" s="81"/>
      <c r="E32" s="81"/>
      <c r="F32" s="82"/>
      <c r="G32" s="6" t="str">
        <f>VLOOKUP(B32,S!$A:$D,3,FALSE)</f>
        <v>H</v>
      </c>
      <c r="H32" s="21"/>
      <c r="I32" s="21">
        <f>J34</f>
        <v>0.31</v>
      </c>
      <c r="J32" s="73"/>
      <c r="K32" s="69"/>
      <c r="L32" s="21">
        <f>VLOOKUP(B32,S!$A:$D,4,FALSE)</f>
        <v>0.31</v>
      </c>
      <c r="M32" s="6" t="str">
        <f>IF(ROUND((L32-I32),2)=0,"OK, confere com a tabela.",IF(ROUND((L32-I32),2)&lt;0,"ACIMA ("&amp;TEXT(ROUND(I32*100/L32,4),"0,0000")&amp;" %) da tabela.","ABAIXO ("&amp;TEXT(ROUND(I32*100/L32,4),"0,0000")&amp;" %) da tabela."))</f>
        <v>OK, confere com a tabela.</v>
      </c>
    </row>
    <row r="33" spans="1:13" ht="45" customHeight="1" x14ac:dyDescent="0.25">
      <c r="A33" s="16" t="s">
        <v>114</v>
      </c>
      <c r="B33" s="19">
        <v>10535</v>
      </c>
      <c r="C33" s="74" t="str">
        <f>VLOOKUP(B33,IF(A33="COMPOSICAO",S!$A:$D,I!$A:$D),2,FALSE)</f>
        <v>BETONEIRA CAPACIDADE NOMINAL 400 L, CAPACIDADE DE MISTURA  280 L, MOTOR ELETRICO TRIFASICO 220/380 V POTENCIA 2 CV, SEM CARREGADOR</v>
      </c>
      <c r="D33" s="74"/>
      <c r="E33" s="74"/>
      <c r="F33" s="74"/>
      <c r="G33" s="16" t="str">
        <f>VLOOKUP(B33,IF(A33="COMPOSICAO",S!$A:$D,I!$A:$D),3,FALSE)</f>
        <v>UN</v>
      </c>
      <c r="H33" s="32">
        <v>6.3999999999999997E-5</v>
      </c>
      <c r="I33" s="17">
        <f>IF(A33="COMPOSICAO",VLOOKUP("TOTAL - "&amp;B33,COMPOSICAO_AUX_4!$A:$J,10,FALSE),VLOOKUP(B33,I!$A:$D,4,FALSE))</f>
        <v>4871.5</v>
      </c>
      <c r="J33" s="77">
        <f>TRUNC(H33*I33,2)</f>
        <v>0.31</v>
      </c>
      <c r="K33" s="78"/>
    </row>
    <row r="34" spans="1:13" ht="15" customHeight="1" x14ac:dyDescent="0.25">
      <c r="A34" s="23" t="s">
        <v>194</v>
      </c>
      <c r="B34" s="24"/>
      <c r="C34" s="24"/>
      <c r="D34" s="24"/>
      <c r="E34" s="24"/>
      <c r="F34" s="24"/>
      <c r="G34" s="25"/>
      <c r="H34" s="26"/>
      <c r="I34" s="27"/>
      <c r="J34" s="77">
        <f>SUM(J32:K33)</f>
        <v>0.31</v>
      </c>
      <c r="K34" s="78"/>
    </row>
    <row r="35" spans="1:13" ht="15" customHeight="1" x14ac:dyDescent="0.25">
      <c r="A35" s="3"/>
      <c r="B35" s="3"/>
      <c r="C35" s="3"/>
      <c r="D35" s="3"/>
      <c r="E35" s="3"/>
      <c r="F35" s="3"/>
      <c r="G35" s="3"/>
      <c r="H35" s="3"/>
      <c r="I35" s="3"/>
      <c r="J35" s="3"/>
      <c r="K35" s="3"/>
    </row>
    <row r="36" spans="1:13" ht="15" customHeight="1" x14ac:dyDescent="0.25">
      <c r="A36" s="10" t="s">
        <v>110</v>
      </c>
      <c r="B36" s="10" t="s">
        <v>31</v>
      </c>
      <c r="C36" s="79" t="s">
        <v>8</v>
      </c>
      <c r="D36" s="80"/>
      <c r="E36" s="80"/>
      <c r="F36" s="80"/>
      <c r="G36" s="6" t="s">
        <v>32</v>
      </c>
      <c r="H36" s="6" t="s">
        <v>111</v>
      </c>
      <c r="I36" s="6" t="s">
        <v>112</v>
      </c>
      <c r="J36" s="51" t="s">
        <v>10</v>
      </c>
      <c r="K36" s="52"/>
    </row>
    <row r="37" spans="1:13" ht="30" customHeight="1" x14ac:dyDescent="0.25">
      <c r="A37" s="6" t="s">
        <v>113</v>
      </c>
      <c r="B37" s="20">
        <v>95358</v>
      </c>
      <c r="C37" s="81" t="str">
        <f>VLOOKUP(B37,S!$A:$D,2,FALSE)</f>
        <v>CURSO DE CAPACITAÇÃO PARA OPERADOR DE GUINCHO (ENCARGOS COMPLEMENTARES) - HORISTA</v>
      </c>
      <c r="D37" s="81"/>
      <c r="E37" s="81"/>
      <c r="F37" s="82"/>
      <c r="G37" s="6" t="str">
        <f>VLOOKUP(B37,S!$A:$D,3,FALSE)</f>
        <v>H</v>
      </c>
      <c r="H37" s="21"/>
      <c r="I37" s="21">
        <f>J39</f>
        <v>0.23</v>
      </c>
      <c r="J37" s="73"/>
      <c r="K37" s="69"/>
      <c r="L37" s="21">
        <f>VLOOKUP(B37,S!$A:$D,4,FALSE)</f>
        <v>0.23</v>
      </c>
      <c r="M37" s="6" t="str">
        <f>IF(ROUND((L37-I37),2)=0,"OK, confere com a tabela.",IF(ROUND((L37-I37),2)&lt;0,"ACIMA ("&amp;TEXT(ROUND(I37*100/L37,4),"0,0000")&amp;" %) da tabela.","ABAIXO ("&amp;TEXT(ROUND(I37*100/L37,4),"0,0000")&amp;" %) da tabela."))</f>
        <v>OK, confere com a tabela.</v>
      </c>
    </row>
    <row r="38" spans="1:13" ht="15" customHeight="1" x14ac:dyDescent="0.25">
      <c r="A38" s="16" t="s">
        <v>114</v>
      </c>
      <c r="B38" s="19">
        <v>4253</v>
      </c>
      <c r="C38" s="74" t="str">
        <f>VLOOKUP(B38,IF(A38="COMPOSICAO",S!$A:$D,I!$A:$D),2,FALSE)</f>
        <v>OPERADOR DE GUINCHO OU GUINCHEIRO</v>
      </c>
      <c r="D38" s="74"/>
      <c r="E38" s="74"/>
      <c r="F38" s="74"/>
      <c r="G38" s="16" t="str">
        <f>VLOOKUP(B38,IF(A38="COMPOSICAO",S!$A:$D,I!$A:$D),3,FALSE)</f>
        <v>H</v>
      </c>
      <c r="H38" s="29">
        <v>1.3299999999999999E-2</v>
      </c>
      <c r="I38" s="17">
        <f>IF(A38="COMPOSICAO",VLOOKUP("TOTAL - "&amp;B38,COMPOSICAO_AUX_4!$A:$J,10,FALSE),VLOOKUP(B38,I!$A:$D,4,FALSE))</f>
        <v>17.899999999999999</v>
      </c>
      <c r="J38" s="77">
        <f>TRUNC(H38*I38,2)</f>
        <v>0.23</v>
      </c>
      <c r="K38" s="78"/>
    </row>
    <row r="39" spans="1:13" ht="15" customHeight="1" x14ac:dyDescent="0.25">
      <c r="A39" s="23" t="s">
        <v>195</v>
      </c>
      <c r="B39" s="24"/>
      <c r="C39" s="24"/>
      <c r="D39" s="24"/>
      <c r="E39" s="24"/>
      <c r="F39" s="24"/>
      <c r="G39" s="25"/>
      <c r="H39" s="26"/>
      <c r="I39" s="27"/>
      <c r="J39" s="77">
        <f>SUM(J37:K38)</f>
        <v>0.23</v>
      </c>
      <c r="K39" s="78"/>
    </row>
    <row r="40" spans="1:13" ht="15" customHeight="1" x14ac:dyDescent="0.25">
      <c r="A40" s="3"/>
      <c r="B40" s="3"/>
      <c r="C40" s="3"/>
      <c r="D40" s="3"/>
      <c r="E40" s="3"/>
      <c r="F40" s="3"/>
      <c r="G40" s="3"/>
      <c r="H40" s="3"/>
      <c r="I40" s="3"/>
      <c r="J40" s="3"/>
      <c r="K40" s="3"/>
    </row>
    <row r="41" spans="1:13" ht="15" customHeight="1" x14ac:dyDescent="0.25">
      <c r="A41" s="10" t="s">
        <v>110</v>
      </c>
      <c r="B41" s="10" t="s">
        <v>31</v>
      </c>
      <c r="C41" s="79" t="s">
        <v>8</v>
      </c>
      <c r="D41" s="80"/>
      <c r="E41" s="80"/>
      <c r="F41" s="80"/>
      <c r="G41" s="6" t="s">
        <v>32</v>
      </c>
      <c r="H41" s="6" t="s">
        <v>111</v>
      </c>
      <c r="I41" s="6" t="s">
        <v>112</v>
      </c>
      <c r="J41" s="51" t="s">
        <v>10</v>
      </c>
      <c r="K41" s="52"/>
    </row>
    <row r="42" spans="1:13" ht="45" customHeight="1" x14ac:dyDescent="0.25">
      <c r="A42" s="6" t="s">
        <v>113</v>
      </c>
      <c r="B42" s="20">
        <v>95317</v>
      </c>
      <c r="C42" s="81" t="str">
        <f>VLOOKUP(B42,S!$A:$D,2,FALSE)</f>
        <v>CURSO DE CAPACITAÇÃO PARA AUXILIAR DE ENCANADOR OU BOMBEIRO HIDRÁULICO (ENCARGOS COMPLEMENTARES) - HORISTA</v>
      </c>
      <c r="D42" s="81"/>
      <c r="E42" s="81"/>
      <c r="F42" s="82"/>
      <c r="G42" s="6" t="str">
        <f>VLOOKUP(B42,S!$A:$D,3,FALSE)</f>
        <v>H</v>
      </c>
      <c r="H42" s="21"/>
      <c r="I42" s="21">
        <f>J44</f>
        <v>0.15</v>
      </c>
      <c r="J42" s="73"/>
      <c r="K42" s="69"/>
      <c r="L42" s="21">
        <f>VLOOKUP(B42,S!$A:$D,4,FALSE)</f>
        <v>0.15</v>
      </c>
      <c r="M42" s="6" t="str">
        <f>IF(ROUND((L42-I42),2)=0,"OK, confere com a tabela.",IF(ROUND((L42-I42),2)&lt;0,"ACIMA ("&amp;TEXT(ROUND(I42*100/L42,4),"0,0000")&amp;" %) da tabela.","ABAIXO ("&amp;TEXT(ROUND(I42*100/L42,4),"0,0000")&amp;" %) da tabela."))</f>
        <v>OK, confere com a tabela.</v>
      </c>
    </row>
    <row r="43" spans="1:13" ht="15" customHeight="1" x14ac:dyDescent="0.25">
      <c r="A43" s="16" t="s">
        <v>114</v>
      </c>
      <c r="B43" s="19">
        <v>246</v>
      </c>
      <c r="C43" s="74" t="str">
        <f>VLOOKUP(B43,IF(A43="COMPOSICAO",S!$A:$D,I!$A:$D),2,FALSE)</f>
        <v>AUXILIAR DE ENCANADOR OU BOMBEIRO HIDRAULICO</v>
      </c>
      <c r="D43" s="74"/>
      <c r="E43" s="74"/>
      <c r="F43" s="74"/>
      <c r="G43" s="16" t="str">
        <f>VLOOKUP(B43,IF(A43="COMPOSICAO",S!$A:$D,I!$A:$D),3,FALSE)</f>
        <v>H</v>
      </c>
      <c r="H43" s="29">
        <v>1.46E-2</v>
      </c>
      <c r="I43" s="17">
        <f>IF(A43="COMPOSICAO",VLOOKUP("TOTAL - "&amp;B43,COMPOSICAO_AUX_4!$A:$J,10,FALSE),VLOOKUP(B43,I!$A:$D,4,FALSE))</f>
        <v>10.57</v>
      </c>
      <c r="J43" s="77">
        <f>TRUNC(H43*I43,2)</f>
        <v>0.15</v>
      </c>
      <c r="K43" s="78"/>
    </row>
    <row r="44" spans="1:13" ht="15" customHeight="1" x14ac:dyDescent="0.25">
      <c r="A44" s="23" t="s">
        <v>196</v>
      </c>
      <c r="B44" s="24"/>
      <c r="C44" s="24"/>
      <c r="D44" s="24"/>
      <c r="E44" s="24"/>
      <c r="F44" s="24"/>
      <c r="G44" s="25"/>
      <c r="H44" s="26"/>
      <c r="I44" s="27"/>
      <c r="J44" s="77">
        <f>SUM(J42:K43)</f>
        <v>0.15</v>
      </c>
      <c r="K44" s="78"/>
    </row>
    <row r="45" spans="1:13" ht="15" customHeight="1" x14ac:dyDescent="0.25">
      <c r="A45" s="3"/>
      <c r="B45" s="3"/>
      <c r="C45" s="3"/>
      <c r="D45" s="3"/>
      <c r="E45" s="3"/>
      <c r="F45" s="3"/>
      <c r="G45" s="3"/>
      <c r="H45" s="3"/>
      <c r="I45" s="3"/>
      <c r="J45" s="3"/>
      <c r="K45" s="3"/>
    </row>
    <row r="46" spans="1:13" ht="15" customHeight="1" x14ac:dyDescent="0.25">
      <c r="A46" s="10" t="s">
        <v>110</v>
      </c>
      <c r="B46" s="10" t="s">
        <v>31</v>
      </c>
      <c r="C46" s="79" t="s">
        <v>8</v>
      </c>
      <c r="D46" s="80"/>
      <c r="E46" s="80"/>
      <c r="F46" s="80"/>
      <c r="G46" s="6" t="s">
        <v>32</v>
      </c>
      <c r="H46" s="6" t="s">
        <v>111</v>
      </c>
      <c r="I46" s="6" t="s">
        <v>112</v>
      </c>
      <c r="J46" s="51" t="s">
        <v>10</v>
      </c>
      <c r="K46" s="52"/>
    </row>
    <row r="47" spans="1:13" ht="45" customHeight="1" x14ac:dyDescent="0.25">
      <c r="A47" s="6" t="s">
        <v>113</v>
      </c>
      <c r="B47" s="20">
        <v>95335</v>
      </c>
      <c r="C47" s="81" t="str">
        <f>VLOOKUP(B47,S!$A:$D,2,FALSE)</f>
        <v>CURSO DE CAPACITAÇÃO PARA ENCANADOR OU BOMBEIRO HIDRÁULICO (ENCARGOS COMPLEMENTARES) - HORISTA</v>
      </c>
      <c r="D47" s="81"/>
      <c r="E47" s="81"/>
      <c r="F47" s="82"/>
      <c r="G47" s="6" t="str">
        <f>VLOOKUP(B47,S!$A:$D,3,FALSE)</f>
        <v>H</v>
      </c>
      <c r="H47" s="21"/>
      <c r="I47" s="21">
        <f>J49</f>
        <v>0.21</v>
      </c>
      <c r="J47" s="73"/>
      <c r="K47" s="69"/>
      <c r="L47" s="21">
        <f>VLOOKUP(B47,S!$A:$D,4,FALSE)</f>
        <v>0.21</v>
      </c>
      <c r="M47" s="6" t="str">
        <f>IF(ROUND((L47-I47),2)=0,"OK, confere com a tabela.",IF(ROUND((L47-I47),2)&lt;0,"ACIMA ("&amp;TEXT(ROUND(I47*100/L47,4),"0,0000")&amp;" %) da tabela.","ABAIXO ("&amp;TEXT(ROUND(I47*100/L47,4),"0,0000")&amp;" %) da tabela."))</f>
        <v>OK, confere com a tabela.</v>
      </c>
    </row>
    <row r="48" spans="1:13" ht="15" customHeight="1" x14ac:dyDescent="0.25">
      <c r="A48" s="16" t="s">
        <v>114</v>
      </c>
      <c r="B48" s="19">
        <v>2696</v>
      </c>
      <c r="C48" s="74" t="str">
        <f>VLOOKUP(B48,IF(A48="COMPOSICAO",S!$A:$D,I!$A:$D),2,FALSE)</f>
        <v>ENCANADOR OU BOMBEIRO HIDRAULICO</v>
      </c>
      <c r="D48" s="74"/>
      <c r="E48" s="74"/>
      <c r="F48" s="74"/>
      <c r="G48" s="16" t="str">
        <f>VLOOKUP(B48,IF(A48="COMPOSICAO",S!$A:$D,I!$A:$D),3,FALSE)</f>
        <v>H</v>
      </c>
      <c r="H48" s="29">
        <v>1.46E-2</v>
      </c>
      <c r="I48" s="17">
        <f>IF(A48="COMPOSICAO",VLOOKUP("TOTAL - "&amp;B48,COMPOSICAO_AUX_4!$A:$J,10,FALSE),VLOOKUP(B48,I!$A:$D,4,FALSE))</f>
        <v>14.91</v>
      </c>
      <c r="J48" s="77">
        <f>TRUNC(H48*I48,2)</f>
        <v>0.21</v>
      </c>
      <c r="K48" s="78"/>
    </row>
    <row r="49" spans="1:13" ht="15" customHeight="1" x14ac:dyDescent="0.25">
      <c r="A49" s="23" t="s">
        <v>177</v>
      </c>
      <c r="B49" s="24"/>
      <c r="C49" s="24"/>
      <c r="D49" s="24"/>
      <c r="E49" s="24"/>
      <c r="F49" s="24"/>
      <c r="G49" s="25"/>
      <c r="H49" s="26"/>
      <c r="I49" s="27"/>
      <c r="J49" s="77">
        <f>SUM(J47:K48)</f>
        <v>0.21</v>
      </c>
      <c r="K49" s="78"/>
    </row>
    <row r="50" spans="1:13" ht="15" customHeight="1" x14ac:dyDescent="0.25">
      <c r="A50" s="3"/>
      <c r="B50" s="3"/>
      <c r="C50" s="3"/>
      <c r="D50" s="3"/>
      <c r="E50" s="3"/>
      <c r="F50" s="3"/>
      <c r="G50" s="3"/>
      <c r="H50" s="3"/>
      <c r="I50" s="3"/>
      <c r="J50" s="3"/>
      <c r="K50" s="3"/>
    </row>
    <row r="51" spans="1:13" ht="15" customHeight="1" x14ac:dyDescent="0.25">
      <c r="A51" s="10" t="s">
        <v>110</v>
      </c>
      <c r="B51" s="10" t="s">
        <v>31</v>
      </c>
      <c r="C51" s="79" t="s">
        <v>8</v>
      </c>
      <c r="D51" s="80"/>
      <c r="E51" s="80"/>
      <c r="F51" s="80"/>
      <c r="G51" s="6" t="s">
        <v>32</v>
      </c>
      <c r="H51" s="6" t="s">
        <v>111</v>
      </c>
      <c r="I51" s="6" t="s">
        <v>112</v>
      </c>
      <c r="J51" s="51" t="s">
        <v>10</v>
      </c>
      <c r="K51" s="52"/>
    </row>
    <row r="52" spans="1:13" ht="15" customHeight="1" x14ac:dyDescent="0.25">
      <c r="A52" s="6" t="s">
        <v>113</v>
      </c>
      <c r="B52" s="20">
        <v>88316</v>
      </c>
      <c r="C52" s="81" t="str">
        <f>VLOOKUP(B52,S!$A:$D,2,FALSE)</f>
        <v>SERVENTE COM ENCARGOS COMPLEMENTARES</v>
      </c>
      <c r="D52" s="81"/>
      <c r="E52" s="81"/>
      <c r="F52" s="82"/>
      <c r="G52" s="6" t="str">
        <f>VLOOKUP(B52,S!$A:$D,3,FALSE)</f>
        <v>H</v>
      </c>
      <c r="H52" s="21"/>
      <c r="I52" s="21">
        <f>J61</f>
        <v>16.329999999999998</v>
      </c>
      <c r="J52" s="73"/>
      <c r="K52" s="69"/>
      <c r="L52" s="21">
        <f>VLOOKUP(B52,S!$A:$D,4,FALSE)</f>
        <v>16.329999999999998</v>
      </c>
      <c r="M52" s="6" t="str">
        <f>IF(ROUND((L52-I52),2)=0,"OK, confere com a tabela.",IF(ROUND((L52-I52),2)&lt;0,"ACIMA ("&amp;TEXT(ROUND(I52*100/L52,4),"0,0000")&amp;" %) da tabela.","ABAIXO ("&amp;TEXT(ROUND(I52*100/L52,4),"0,0000")&amp;" %) da tabela."))</f>
        <v>OK, confere com a tabela.</v>
      </c>
    </row>
    <row r="53" spans="1:13" ht="15" customHeight="1" x14ac:dyDescent="0.25">
      <c r="A53" s="16" t="s">
        <v>114</v>
      </c>
      <c r="B53" s="19">
        <v>6111</v>
      </c>
      <c r="C53" s="74" t="str">
        <f>VLOOKUP(B53,IF(A53="COMPOSICAO",S!$A:$D,I!$A:$D),2,FALSE)</f>
        <v>SERVENTE DE OBRAS</v>
      </c>
      <c r="D53" s="74"/>
      <c r="E53" s="74"/>
      <c r="F53" s="74"/>
      <c r="G53" s="16" t="str">
        <f>VLOOKUP(B53,IF(A53="COMPOSICAO",S!$A:$D,I!$A:$D),3,FALSE)</f>
        <v>H</v>
      </c>
      <c r="H53" s="17">
        <v>1</v>
      </c>
      <c r="I53" s="17">
        <f>IF(A53="COMPOSICAO",VLOOKUP("TOTAL - "&amp;B53,COMPOSICAO_AUX_4!$A:$J,10,FALSE),VLOOKUP(B53,I!$A:$D,4,FALSE))</f>
        <v>10.59</v>
      </c>
      <c r="J53" s="77">
        <f t="shared" ref="J53:J60" si="0">TRUNC(H53*I53,2)</f>
        <v>10.59</v>
      </c>
      <c r="K53" s="78"/>
    </row>
    <row r="54" spans="1:13" ht="15" customHeight="1" x14ac:dyDescent="0.25">
      <c r="A54" s="16" t="s">
        <v>114</v>
      </c>
      <c r="B54" s="19">
        <v>37370</v>
      </c>
      <c r="C54" s="74" t="str">
        <f>VLOOKUP(B54,IF(A54="COMPOSICAO",S!$A:$D,I!$A:$D),2,FALSE)</f>
        <v>ALIMENTACAO - HORISTA (COLETADO CAIXA)</v>
      </c>
      <c r="D54" s="74"/>
      <c r="E54" s="74"/>
      <c r="F54" s="74"/>
      <c r="G54" s="16" t="str">
        <f>VLOOKUP(B54,IF(A54="COMPOSICAO",S!$A:$D,I!$A:$D),3,FALSE)</f>
        <v>H</v>
      </c>
      <c r="H54" s="17">
        <v>1</v>
      </c>
      <c r="I54" s="17">
        <f>IF(A54="COMPOSICAO",VLOOKUP("TOTAL - "&amp;B54,COMPOSICAO_AUX_4!$A:$J,10,FALSE),VLOOKUP(B54,I!$A:$D,4,FALSE))</f>
        <v>2.29</v>
      </c>
      <c r="J54" s="77">
        <f t="shared" si="0"/>
        <v>2.29</v>
      </c>
      <c r="K54" s="78"/>
    </row>
    <row r="55" spans="1:13" ht="15" customHeight="1" x14ac:dyDescent="0.25">
      <c r="A55" s="16" t="s">
        <v>114</v>
      </c>
      <c r="B55" s="19">
        <v>37371</v>
      </c>
      <c r="C55" s="74" t="str">
        <f>VLOOKUP(B55,IF(A55="COMPOSICAO",S!$A:$D,I!$A:$D),2,FALSE)</f>
        <v>TRANSPORTE - HORISTA (COLETADO CAIXA)</v>
      </c>
      <c r="D55" s="74"/>
      <c r="E55" s="74"/>
      <c r="F55" s="74"/>
      <c r="G55" s="16" t="str">
        <f>VLOOKUP(B55,IF(A55="COMPOSICAO",S!$A:$D,I!$A:$D),3,FALSE)</f>
        <v>H</v>
      </c>
      <c r="H55" s="17">
        <v>1</v>
      </c>
      <c r="I55" s="17">
        <f>IF(A55="COMPOSICAO",VLOOKUP("TOTAL - "&amp;B55,COMPOSICAO_AUX_4!$A:$J,10,FALSE),VLOOKUP(B55,I!$A:$D,4,FALSE))</f>
        <v>0.69</v>
      </c>
      <c r="J55" s="77">
        <f t="shared" si="0"/>
        <v>0.69</v>
      </c>
      <c r="K55" s="78"/>
    </row>
    <row r="56" spans="1:13" ht="15" customHeight="1" x14ac:dyDescent="0.25">
      <c r="A56" s="16" t="s">
        <v>114</v>
      </c>
      <c r="B56" s="19">
        <v>37372</v>
      </c>
      <c r="C56" s="74" t="str">
        <f>VLOOKUP(B56,IF(A56="COMPOSICAO",S!$A:$D,I!$A:$D),2,FALSE)</f>
        <v>EXAMES - HORISTA (COLETADO CAIXA)</v>
      </c>
      <c r="D56" s="74"/>
      <c r="E56" s="74"/>
      <c r="F56" s="74"/>
      <c r="G56" s="16" t="str">
        <f>VLOOKUP(B56,IF(A56="COMPOSICAO",S!$A:$D,I!$A:$D),3,FALSE)</f>
        <v>H</v>
      </c>
      <c r="H56" s="17">
        <v>1</v>
      </c>
      <c r="I56" s="17">
        <f>IF(A56="COMPOSICAO",VLOOKUP("TOTAL - "&amp;B56,COMPOSICAO_AUX_4!$A:$J,10,FALSE),VLOOKUP(B56,I!$A:$D,4,FALSE))</f>
        <v>0.81</v>
      </c>
      <c r="J56" s="77">
        <f t="shared" si="0"/>
        <v>0.81</v>
      </c>
      <c r="K56" s="78"/>
    </row>
    <row r="57" spans="1:13" ht="15" customHeight="1" x14ac:dyDescent="0.25">
      <c r="A57" s="16" t="s">
        <v>114</v>
      </c>
      <c r="B57" s="19">
        <v>37373</v>
      </c>
      <c r="C57" s="74" t="str">
        <f>VLOOKUP(B57,IF(A57="COMPOSICAO",S!$A:$D,I!$A:$D),2,FALSE)</f>
        <v>SEGURO - HORISTA (COLETADO CAIXA)</v>
      </c>
      <c r="D57" s="74"/>
      <c r="E57" s="74"/>
      <c r="F57" s="74"/>
      <c r="G57" s="16" t="str">
        <f>VLOOKUP(B57,IF(A57="COMPOSICAO",S!$A:$D,I!$A:$D),3,FALSE)</f>
        <v>H</v>
      </c>
      <c r="H57" s="17">
        <v>1</v>
      </c>
      <c r="I57" s="17">
        <f>IF(A57="COMPOSICAO",VLOOKUP("TOTAL - "&amp;B57,COMPOSICAO_AUX_4!$A:$J,10,FALSE),VLOOKUP(B57,I!$A:$D,4,FALSE))</f>
        <v>0.06</v>
      </c>
      <c r="J57" s="77">
        <f t="shared" si="0"/>
        <v>0.06</v>
      </c>
      <c r="K57" s="78"/>
    </row>
    <row r="58" spans="1:13" ht="30" customHeight="1" x14ac:dyDescent="0.25">
      <c r="A58" s="16" t="s">
        <v>114</v>
      </c>
      <c r="B58" s="19">
        <v>43467</v>
      </c>
      <c r="C58" s="74" t="str">
        <f>VLOOKUP(B58,IF(A58="COMPOSICAO",S!$A:$D,I!$A:$D),2,FALSE)</f>
        <v>FERRAMENTAS - FAMILIA SERVENTE - HORISTA (ENCARGOS COMPLEMENTARES - COLETADO CAIXA)</v>
      </c>
      <c r="D58" s="74"/>
      <c r="E58" s="74"/>
      <c r="F58" s="74"/>
      <c r="G58" s="16" t="str">
        <f>VLOOKUP(B58,IF(A58="COMPOSICAO",S!$A:$D,I!$A:$D),3,FALSE)</f>
        <v>H</v>
      </c>
      <c r="H58" s="17">
        <v>1</v>
      </c>
      <c r="I58" s="17">
        <f>IF(A58="COMPOSICAO",VLOOKUP("TOTAL - "&amp;B58,COMPOSICAO_AUX_4!$A:$J,10,FALSE),VLOOKUP(B58,I!$A:$D,4,FALSE))</f>
        <v>0.56000000000000005</v>
      </c>
      <c r="J58" s="77">
        <f t="shared" si="0"/>
        <v>0.56000000000000005</v>
      </c>
      <c r="K58" s="78"/>
    </row>
    <row r="59" spans="1:13" ht="30" customHeight="1" x14ac:dyDescent="0.25">
      <c r="A59" s="16" t="s">
        <v>114</v>
      </c>
      <c r="B59" s="19">
        <v>43491</v>
      </c>
      <c r="C59" s="74" t="str">
        <f>VLOOKUP(B59,IF(A59="COMPOSICAO",S!$A:$D,I!$A:$D),2,FALSE)</f>
        <v>EPI - FAMILIA SERVENTE - HORISTA (ENCARGOS COMPLEMENTARES - COLETADO CAIXA)</v>
      </c>
      <c r="D59" s="74"/>
      <c r="E59" s="74"/>
      <c r="F59" s="74"/>
      <c r="G59" s="16" t="str">
        <f>VLOOKUP(B59,IF(A59="COMPOSICAO",S!$A:$D,I!$A:$D),3,FALSE)</f>
        <v>H</v>
      </c>
      <c r="H59" s="17">
        <v>1</v>
      </c>
      <c r="I59" s="17">
        <f>IF(A59="COMPOSICAO",VLOOKUP("TOTAL - "&amp;B59,COMPOSICAO_AUX_4!$A:$J,10,FALSE),VLOOKUP(B59,I!$A:$D,4,FALSE))</f>
        <v>1.1499999999999999</v>
      </c>
      <c r="J59" s="77">
        <f t="shared" si="0"/>
        <v>1.1499999999999999</v>
      </c>
      <c r="K59" s="78"/>
    </row>
    <row r="60" spans="1:13" ht="30" customHeight="1" x14ac:dyDescent="0.25">
      <c r="A60" s="16" t="s">
        <v>115</v>
      </c>
      <c r="B60" s="19">
        <v>95378</v>
      </c>
      <c r="C60" s="74" t="str">
        <f>VLOOKUP(B60,IF(A60="COMPOSICAO",S!$A:$D,I!$A:$D),2,FALSE)</f>
        <v>CURSO DE CAPACITAÇÃO PARA SERVENTE (ENCARGOS COMPLEMENTARES) - HORISTA</v>
      </c>
      <c r="D60" s="74"/>
      <c r="E60" s="74"/>
      <c r="F60" s="74"/>
      <c r="G60" s="16" t="str">
        <f>VLOOKUP(B60,IF(A60="COMPOSICAO",S!$A:$D,I!$A:$D),3,FALSE)</f>
        <v>H</v>
      </c>
      <c r="H60" s="17">
        <v>1</v>
      </c>
      <c r="I60" s="17">
        <f>IF(A60="COMPOSICAO",VLOOKUP("TOTAL - "&amp;B60,COMPOSICAO_AUX_4!$A:$J,10,FALSE),VLOOKUP(B60,I!$A:$D,4,FALSE))</f>
        <v>0.18</v>
      </c>
      <c r="J60" s="77">
        <f t="shared" si="0"/>
        <v>0.18</v>
      </c>
      <c r="K60" s="78"/>
    </row>
    <row r="61" spans="1:13" ht="15" customHeight="1" x14ac:dyDescent="0.25">
      <c r="A61" s="23" t="s">
        <v>156</v>
      </c>
      <c r="B61" s="24"/>
      <c r="C61" s="24"/>
      <c r="D61" s="24"/>
      <c r="E61" s="24"/>
      <c r="F61" s="24"/>
      <c r="G61" s="25"/>
      <c r="H61" s="26"/>
      <c r="I61" s="27"/>
      <c r="J61" s="77">
        <f>SUM(J52:K60)</f>
        <v>16.329999999999998</v>
      </c>
      <c r="K61" s="78"/>
    </row>
    <row r="62" spans="1:13" ht="15" customHeight="1" x14ac:dyDescent="0.25">
      <c r="A62" s="3"/>
      <c r="B62" s="3"/>
      <c r="C62" s="3"/>
      <c r="D62" s="3"/>
      <c r="E62" s="3"/>
      <c r="F62" s="3"/>
      <c r="G62" s="3"/>
      <c r="H62" s="3"/>
      <c r="I62" s="3"/>
      <c r="J62" s="3"/>
      <c r="K62" s="3"/>
    </row>
  </sheetData>
  <sheetProtection formatCells="0" formatColumns="0" formatRows="0" insertColumns="0" insertRows="0" insertHyperlinks="0" deleteColumns="0" deleteRows="0" sort="0" autoFilter="0" pivotTables="0"/>
  <mergeCells count="87">
    <mergeCell ref="C12:F12"/>
    <mergeCell ref="J12:K12"/>
    <mergeCell ref="A1:K1"/>
    <mergeCell ref="A2:K2"/>
    <mergeCell ref="A3:K3"/>
    <mergeCell ref="C6:F6"/>
    <mergeCell ref="J6:K6"/>
    <mergeCell ref="C7:F7"/>
    <mergeCell ref="J7:K7"/>
    <mergeCell ref="C8:F8"/>
    <mergeCell ref="J8:K8"/>
    <mergeCell ref="J9:K9"/>
    <mergeCell ref="C11:F11"/>
    <mergeCell ref="J11:K11"/>
    <mergeCell ref="C22:F22"/>
    <mergeCell ref="J22:K22"/>
    <mergeCell ref="C13:F13"/>
    <mergeCell ref="J13:K13"/>
    <mergeCell ref="J14:K14"/>
    <mergeCell ref="C16:F16"/>
    <mergeCell ref="J16:K16"/>
    <mergeCell ref="C17:F17"/>
    <mergeCell ref="J17:K17"/>
    <mergeCell ref="C18:F18"/>
    <mergeCell ref="J18:K18"/>
    <mergeCell ref="J19:K19"/>
    <mergeCell ref="C21:F21"/>
    <mergeCell ref="J21:K21"/>
    <mergeCell ref="C32:F32"/>
    <mergeCell ref="J32:K32"/>
    <mergeCell ref="C23:F23"/>
    <mergeCell ref="J23:K23"/>
    <mergeCell ref="J24:K24"/>
    <mergeCell ref="C26:F26"/>
    <mergeCell ref="J26:K26"/>
    <mergeCell ref="C27:F27"/>
    <mergeCell ref="J27:K27"/>
    <mergeCell ref="C28:F28"/>
    <mergeCell ref="J28:K28"/>
    <mergeCell ref="J29:K29"/>
    <mergeCell ref="C31:F31"/>
    <mergeCell ref="J31:K31"/>
    <mergeCell ref="C42:F42"/>
    <mergeCell ref="J42:K42"/>
    <mergeCell ref="C33:F33"/>
    <mergeCell ref="J33:K33"/>
    <mergeCell ref="J34:K34"/>
    <mergeCell ref="C36:F36"/>
    <mergeCell ref="J36:K36"/>
    <mergeCell ref="C37:F37"/>
    <mergeCell ref="J37:K37"/>
    <mergeCell ref="C38:F38"/>
    <mergeCell ref="J38:K38"/>
    <mergeCell ref="J39:K39"/>
    <mergeCell ref="C41:F41"/>
    <mergeCell ref="J41:K41"/>
    <mergeCell ref="C52:F52"/>
    <mergeCell ref="J52:K52"/>
    <mergeCell ref="C43:F43"/>
    <mergeCell ref="J43:K43"/>
    <mergeCell ref="J44:K44"/>
    <mergeCell ref="C46:F46"/>
    <mergeCell ref="J46:K46"/>
    <mergeCell ref="C47:F47"/>
    <mergeCell ref="J47:K47"/>
    <mergeCell ref="C48:F48"/>
    <mergeCell ref="J48:K48"/>
    <mergeCell ref="J49:K49"/>
    <mergeCell ref="C51:F51"/>
    <mergeCell ref="J51:K51"/>
    <mergeCell ref="C53:F53"/>
    <mergeCell ref="J53:K53"/>
    <mergeCell ref="C54:F54"/>
    <mergeCell ref="J54:K54"/>
    <mergeCell ref="C55:F55"/>
    <mergeCell ref="J55:K55"/>
    <mergeCell ref="C56:F56"/>
    <mergeCell ref="J56:K56"/>
    <mergeCell ref="C57:F57"/>
    <mergeCell ref="J57:K57"/>
    <mergeCell ref="C58:F58"/>
    <mergeCell ref="J58:K58"/>
    <mergeCell ref="C59:F59"/>
    <mergeCell ref="J59:K59"/>
    <mergeCell ref="C60:F60"/>
    <mergeCell ref="J60:K60"/>
    <mergeCell ref="J61:K61"/>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10</vt:i4>
      </vt:variant>
    </vt:vector>
  </HeadingPairs>
  <TitlesOfParts>
    <vt:vector size="26" baseType="lpstr">
      <vt:lpstr>DADOS</vt:lpstr>
      <vt:lpstr>RESUMO</vt:lpstr>
      <vt:lpstr>CRONOGRAMA</vt:lpstr>
      <vt:lpstr>ORCAMENTO</vt:lpstr>
      <vt:lpstr>COMPOSICAO</vt:lpstr>
      <vt:lpstr>MEMORIA</vt:lpstr>
      <vt:lpstr>COMPOSICAO_AUX_1</vt:lpstr>
      <vt:lpstr>COMPOSICAO_AUX_2</vt:lpstr>
      <vt:lpstr>COMPOSICAO_AUX_3</vt:lpstr>
      <vt:lpstr>COMPOSICAO_AUX_4</vt:lpstr>
      <vt:lpstr>ABCS</vt:lpstr>
      <vt:lpstr>Qualificação Técnica</vt:lpstr>
      <vt:lpstr>BDI</vt:lpstr>
      <vt:lpstr>LS</vt:lpstr>
      <vt:lpstr>S</vt:lpstr>
      <vt:lpstr>I</vt:lpstr>
      <vt:lpstr>BDI!Area_de_impressao</vt:lpstr>
      <vt:lpstr>COMPOSICAO!Area_de_impressao</vt:lpstr>
      <vt:lpstr>DADOS!Area_de_impressao</vt:lpstr>
      <vt:lpstr>LS!Area_de_impressao</vt:lpstr>
      <vt:lpstr>BDI</vt:lpstr>
      <vt:lpstr>CIDADE</vt:lpstr>
      <vt:lpstr>FONTE</vt:lpstr>
      <vt:lpstr>LEI</vt:lpstr>
      <vt:lpstr>OBRA</vt:lpstr>
      <vt:lpstr>ONERA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Planilha OrÃ§amentÃ¡ria</dc:title>
  <dc:subject>OrÃ§aamento de Obra</dc:subject>
  <dc:creator>jonataseng</dc:creator>
  <cp:keywords>planilha xls</cp:keywords>
  <dc:description>Gerada em www.meusinapi.com.br</dc:description>
  <cp:lastModifiedBy>Usuário do Windows</cp:lastModifiedBy>
  <cp:lastPrinted>2022-02-14T14:32:41Z</cp:lastPrinted>
  <dcterms:created xsi:type="dcterms:W3CDTF">2022-02-14T09:02:36Z</dcterms:created>
  <dcterms:modified xsi:type="dcterms:W3CDTF">2022-04-05T12:55:47Z</dcterms:modified>
  <cp:category>Planilhas</cp:category>
</cp:coreProperties>
</file>